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100" yWindow="400" windowWidth="24580" windowHeight="15000" tabRatio="831" firstSheet="2" activeTab="9"/>
  </bookViews>
  <sheets>
    <sheet name="Read me first" sheetId="1" r:id="rId1"/>
    <sheet name="Master Inputs Start here" sheetId="2" r:id="rId2"/>
    <sheet name="Earnings Normalizer" sheetId="3" r:id="rId3"/>
    <sheet name="R&amp;D converter" sheetId="4" r:id="rId4"/>
    <sheet name="Operating lease converter" sheetId="5" r:id="rId5"/>
    <sheet name="Valuation Model" sheetId="6" r:id="rId6"/>
    <sheet name="Option Value" sheetId="7" r:id="rId7"/>
    <sheet name="Bottom-up Beta" sheetId="8" r:id="rId8"/>
    <sheet name="Ratings estimator" sheetId="9" r:id="rId9"/>
    <sheet name="Industry averages" sheetId="10" r:id="rId10"/>
  </sheets>
  <externalReferences>
    <externalReference r:id="rId13"/>
  </externalReferences>
  <definedNames/>
  <calcPr fullCalcOnLoad="1" iterate="1" iterateCount="2000" iterateDelta="1E-05"/>
</workbook>
</file>

<file path=xl/comments2.xml><?xml version="1.0" encoding="utf-8"?>
<comments xmlns="http://schemas.openxmlformats.org/spreadsheetml/2006/main">
  <authors>
    <author>Aswath Damodaran</author>
  </authors>
  <commentList>
    <comment ref="B4" authorId="0">
      <text>
        <r>
          <rPr>
            <b/>
            <sz val="9"/>
            <rFont val="Geneva"/>
            <family val="0"/>
          </rPr>
          <t>Aswath Damodaran:</t>
        </r>
        <r>
          <rPr>
            <sz val="9"/>
            <rFont val="Geneva"/>
            <family val="0"/>
          </rPr>
          <t xml:space="preserve">
For many high tech and drug companies, R&amp;D is really the big cap ex. Unfortunately, accounting convention leads to their being treated as operating expenses. If you answer "Yes", I will try to capitalize R&amp;D and adjust EBIT, but you will need to go to the R&amp;D converted worksheet and input your firm's numbers.</t>
        </r>
      </text>
    </comment>
    <comment ref="B5" authorId="0">
      <text>
        <r>
          <rPr>
            <b/>
            <sz val="9"/>
            <rFont val="Geneva"/>
            <family val="0"/>
          </rPr>
          <t>Aswath Damodaran:</t>
        </r>
        <r>
          <rPr>
            <sz val="9"/>
            <rFont val="Geneva"/>
            <family val="0"/>
          </rPr>
          <t xml:space="preserve">
Operating leases are similar to financial expenses. If you say "yes" here, I will convert operating leases, but you have to input the numbers for your firm in the operating lease worksheet.</t>
        </r>
      </text>
    </comment>
    <comment ref="B6" authorId="0">
      <text>
        <r>
          <rPr>
            <b/>
            <sz val="9"/>
            <rFont val="Geneva"/>
            <family val="0"/>
          </rPr>
          <t>Aswath Damodaran:</t>
        </r>
        <r>
          <rPr>
            <sz val="9"/>
            <rFont val="Geneva"/>
            <family val="0"/>
          </rPr>
          <t xml:space="preserve">
If you have a firm with negative operating income, or operating income much lower than that earned in previous years, answer yes.</t>
        </r>
      </text>
    </comment>
    <comment ref="B10" authorId="0">
      <text>
        <r>
          <rPr>
            <b/>
            <sz val="9"/>
            <rFont val="Geneva"/>
            <family val="0"/>
          </rPr>
          <t>Aswath Damodaran:</t>
        </r>
        <r>
          <rPr>
            <sz val="9"/>
            <rFont val="Geneva"/>
            <family val="0"/>
          </rPr>
          <t xml:space="preserve">
Enter the current EBIT for the firm. If your current EBIT is negative, you will have to normalize EBIT.</t>
        </r>
      </text>
    </comment>
    <comment ref="B11" authorId="0">
      <text>
        <r>
          <rPr>
            <b/>
            <sz val="9"/>
            <rFont val="Geneva"/>
            <family val="0"/>
          </rPr>
          <t>Aswath Damodaran:</t>
        </r>
        <r>
          <rPr>
            <sz val="9"/>
            <rFont val="Geneva"/>
            <family val="0"/>
          </rPr>
          <t xml:space="preserve">
Enter the total interest expenses, corresponding to the dollar debt that you enter below.</t>
        </r>
      </text>
    </comment>
    <comment ref="B12" authorId="0">
      <text>
        <r>
          <rPr>
            <b/>
            <sz val="9"/>
            <rFont val="Geneva"/>
            <family val="0"/>
          </rPr>
          <t>Aswath Damodaran:</t>
        </r>
        <r>
          <rPr>
            <sz val="9"/>
            <rFont val="Geneva"/>
            <family val="0"/>
          </rPr>
          <t xml:space="preserve">
Enter the current capital expenditures, including acquisitions made. You might want to normalize this, if it is volatile.</t>
        </r>
      </text>
    </comment>
    <comment ref="B13" authorId="0">
      <text>
        <r>
          <rPr>
            <b/>
            <sz val="9"/>
            <rFont val="Geneva"/>
            <family val="0"/>
          </rPr>
          <t>Aswath Damodaran:</t>
        </r>
        <r>
          <rPr>
            <sz val="9"/>
            <rFont val="Geneva"/>
            <family val="0"/>
          </rPr>
          <t xml:space="preserve">
Enter the aggreate depreciation and amortization claimed by the firm.</t>
        </r>
      </text>
    </comment>
    <comment ref="B14" authorId="0">
      <text>
        <r>
          <rPr>
            <b/>
            <sz val="9"/>
            <rFont val="Geneva"/>
            <family val="0"/>
          </rPr>
          <t>Aswath Damodaran:</t>
        </r>
        <r>
          <rPr>
            <sz val="9"/>
            <rFont val="Geneva"/>
            <family val="0"/>
          </rPr>
          <t xml:space="preserve">
Enter the effective tax rate if it is greater than 35%, or 35% if the effective tax rate is lower.</t>
        </r>
      </text>
    </comment>
    <comment ref="B15" authorId="0">
      <text>
        <r>
          <rPr>
            <b/>
            <sz val="9"/>
            <rFont val="Geneva"/>
            <family val="0"/>
          </rPr>
          <t>Aswath Damodaran:</t>
        </r>
        <r>
          <rPr>
            <sz val="9"/>
            <rFont val="Geneva"/>
            <family val="0"/>
          </rPr>
          <t xml:space="preserve">
Enter aggregate revenues during the year.</t>
        </r>
      </text>
    </comment>
    <comment ref="B16" authorId="0">
      <text>
        <r>
          <rPr>
            <b/>
            <sz val="9"/>
            <rFont val="Geneva"/>
            <family val="0"/>
          </rPr>
          <t>Aswath Damodaran:</t>
        </r>
        <r>
          <rPr>
            <sz val="9"/>
            <rFont val="Geneva"/>
            <family val="0"/>
          </rPr>
          <t xml:space="preserve">
Non-cash WC = Inventory + Acc Rec - Acc Payable</t>
        </r>
      </text>
    </comment>
    <comment ref="B17" authorId="0">
      <text>
        <r>
          <rPr>
            <b/>
            <sz val="9"/>
            <rFont val="Geneva"/>
            <family val="0"/>
          </rPr>
          <t>Aswath Damodaran:</t>
        </r>
        <r>
          <rPr>
            <sz val="9"/>
            <rFont val="Geneva"/>
            <family val="0"/>
          </rPr>
          <t xml:space="preserve">
Enter the change in non-cash working capital from last year to this year.</t>
        </r>
      </text>
    </comment>
    <comment ref="B18" authorId="0">
      <text>
        <r>
          <rPr>
            <b/>
            <sz val="9"/>
            <rFont val="Geneva"/>
            <family val="0"/>
          </rPr>
          <t>Aswath Damodaran:</t>
        </r>
        <r>
          <rPr>
            <sz val="9"/>
            <rFont val="Geneva"/>
            <family val="0"/>
          </rPr>
          <t xml:space="preserve">
Enter total interest-bearing debt. This should include both short term and long term debt. If you have convertible debt, enter only debt portion here. (The rest has to go into equity)</t>
        </r>
      </text>
    </comment>
    <comment ref="C18" authorId="0">
      <text>
        <r>
          <rPr>
            <b/>
            <sz val="9"/>
            <rFont val="Geneva"/>
            <family val="0"/>
          </rPr>
          <t>Aswath Damodaran:</t>
        </r>
        <r>
          <rPr>
            <sz val="9"/>
            <rFont val="Geneva"/>
            <family val="0"/>
          </rPr>
          <t xml:space="preserve">
I use the book value of debt from the end of last year to compute return on capital.</t>
        </r>
      </text>
    </comment>
    <comment ref="B19" authorId="0">
      <text>
        <r>
          <rPr>
            <b/>
            <sz val="9"/>
            <rFont val="Geneva"/>
            <family val="0"/>
          </rPr>
          <t>Aswath Damodaran:</t>
        </r>
        <r>
          <rPr>
            <sz val="9"/>
            <rFont val="Geneva"/>
            <family val="0"/>
          </rPr>
          <t xml:space="preserve">
Enter the total shareholders equity.</t>
        </r>
      </text>
    </comment>
    <comment ref="C19" authorId="0">
      <text>
        <r>
          <rPr>
            <b/>
            <sz val="9"/>
            <rFont val="Geneva"/>
            <family val="0"/>
          </rPr>
          <t>Aswath Damodaran:</t>
        </r>
        <r>
          <rPr>
            <sz val="9"/>
            <rFont val="Geneva"/>
            <family val="0"/>
          </rPr>
          <t xml:space="preserve">
I use book value of equity from end of previous year to compute return on equity.</t>
        </r>
      </text>
    </comment>
    <comment ref="B21" authorId="0">
      <text>
        <r>
          <rPr>
            <b/>
            <sz val="9"/>
            <rFont val="Geneva"/>
            <family val="0"/>
          </rPr>
          <t>Aswath Damodaran:</t>
        </r>
        <r>
          <rPr>
            <sz val="9"/>
            <rFont val="Geneva"/>
            <family val="0"/>
          </rPr>
          <t xml:space="preserve">
Enter the current value of cash and marketable securites</t>
        </r>
      </text>
    </comment>
    <comment ref="B22" authorId="0">
      <text>
        <r>
          <rPr>
            <b/>
            <sz val="9"/>
            <rFont val="Geneva"/>
            <family val="0"/>
          </rPr>
          <t>Aswath Damodaran:</t>
        </r>
        <r>
          <rPr>
            <sz val="9"/>
            <rFont val="Geneva"/>
            <family val="0"/>
          </rPr>
          <t xml:space="preserve">
Enter the estimated market value of any other non-operating assets, including minority holdings in subsidiaries.</t>
        </r>
      </text>
    </comment>
    <comment ref="B25" authorId="0">
      <text>
        <r>
          <rPr>
            <b/>
            <sz val="9"/>
            <rFont val="Geneva"/>
            <family val="0"/>
          </rPr>
          <t>Aswath Damodaran:</t>
        </r>
        <r>
          <rPr>
            <sz val="9"/>
            <rFont val="Geneva"/>
            <family val="0"/>
          </rPr>
          <t xml:space="preserve">
Enter Yes or No. If yes, enter the inputs below for both equity and debt.</t>
        </r>
      </text>
    </comment>
    <comment ref="B27" authorId="0">
      <text>
        <r>
          <rPr>
            <b/>
            <sz val="9"/>
            <rFont val="Geneva"/>
            <family val="0"/>
          </rPr>
          <t>Aswath Damodaran:</t>
        </r>
        <r>
          <rPr>
            <sz val="9"/>
            <rFont val="Geneva"/>
            <family val="0"/>
          </rPr>
          <t xml:space="preserve">
Enter the current market price. If this is a private firm, leave blank.</t>
        </r>
      </text>
    </comment>
    <comment ref="B28" authorId="0">
      <text>
        <r>
          <rPr>
            <b/>
            <sz val="9"/>
            <rFont val="Geneva"/>
            <family val="0"/>
          </rPr>
          <t>Aswath Damodaran:</t>
        </r>
        <r>
          <rPr>
            <sz val="9"/>
            <rFont val="Geneva"/>
            <family val="0"/>
          </rPr>
          <t xml:space="preserve">
Enter the primary number of shares outstanding.</t>
        </r>
      </text>
    </comment>
    <comment ref="B29" authorId="0">
      <text>
        <r>
          <rPr>
            <b/>
            <sz val="9"/>
            <rFont val="Geneva"/>
            <family val="0"/>
          </rPr>
          <t>Aswath Damodaran:</t>
        </r>
        <r>
          <rPr>
            <sz val="9"/>
            <rFont val="Geneva"/>
            <family val="0"/>
          </rPr>
          <t xml:space="preserve">
If you can estimate the market value of the debt (not including operating leases), input the number here. If not, re-enter the book value from above.</t>
        </r>
      </text>
    </comment>
    <comment ref="B31" authorId="0">
      <text>
        <r>
          <rPr>
            <b/>
            <sz val="9"/>
            <rFont val="Geneva"/>
            <family val="0"/>
          </rPr>
          <t>Aswath Damodaran:</t>
        </r>
        <r>
          <rPr>
            <sz val="9"/>
            <rFont val="Geneva"/>
            <family val="0"/>
          </rPr>
          <t xml:space="preserve">
You should almost never use the book value debt ratio. You can try this, if you want, to see how much value will shift.</t>
        </r>
      </text>
    </comment>
    <comment ref="B32" authorId="0">
      <text>
        <r>
          <rPr>
            <b/>
            <sz val="9"/>
            <rFont val="Geneva"/>
            <family val="0"/>
          </rPr>
          <t>Aswath Damodaran:</t>
        </r>
        <r>
          <rPr>
            <sz val="9"/>
            <rFont val="Geneva"/>
            <family val="0"/>
          </rPr>
          <t xml:space="preserve">
For a private firm, you can try using the industry average debt ratio to compute cost of capital.</t>
        </r>
      </text>
    </comment>
    <comment ref="B35" authorId="0">
      <text>
        <r>
          <rPr>
            <b/>
            <sz val="9"/>
            <rFont val="Geneva"/>
            <family val="0"/>
          </rPr>
          <t>Aswath Damodaran:</t>
        </r>
        <r>
          <rPr>
            <sz val="9"/>
            <rFont val="Geneva"/>
            <family val="0"/>
          </rPr>
          <t xml:space="preserve">
Enter the current long term government bond rate (of the currency in which your cashflows are in.</t>
        </r>
      </text>
    </comment>
    <comment ref="B36" authorId="0">
      <text>
        <r>
          <rPr>
            <b/>
            <sz val="9"/>
            <rFont val="Geneva"/>
            <family val="0"/>
          </rPr>
          <t>Aswath Damodaran:</t>
        </r>
        <r>
          <rPr>
            <sz val="9"/>
            <rFont val="Geneva"/>
            <family val="0"/>
          </rPr>
          <t xml:space="preserve">
Enter the risk premium for equities over riskfree investments. You can use an implied or historical premium.</t>
        </r>
      </text>
    </comment>
    <comment ref="B39" authorId="0">
      <text>
        <r>
          <rPr>
            <b/>
            <sz val="9"/>
            <rFont val="Geneva"/>
            <family val="0"/>
          </rPr>
          <t>Aswath Damodaran:</t>
        </r>
        <r>
          <rPr>
            <sz val="9"/>
            <rFont val="Geneva"/>
            <family val="0"/>
          </rPr>
          <t xml:space="preserve">
If your firm does not have rating, has multiple ratings or you do not trust the rating, answer Yes.</t>
        </r>
      </text>
    </comment>
    <comment ref="B40" authorId="0">
      <text>
        <r>
          <rPr>
            <b/>
            <sz val="9"/>
            <rFont val="Geneva"/>
            <family val="0"/>
          </rPr>
          <t>Aswath Damodaran:</t>
        </r>
        <r>
          <rPr>
            <sz val="9"/>
            <rFont val="Geneva"/>
            <family val="0"/>
          </rPr>
          <t xml:space="preserve">
1: Large or stable firm
2. Small or risky firm
3: Financial Service firm</t>
        </r>
      </text>
    </comment>
    <comment ref="B41" authorId="0">
      <text>
        <r>
          <rPr>
            <b/>
            <sz val="9"/>
            <rFont val="Geneva"/>
            <family val="0"/>
          </rPr>
          <t>Aswath Damodaran:</t>
        </r>
        <r>
          <rPr>
            <sz val="9"/>
            <rFont val="Geneva"/>
            <family val="0"/>
          </rPr>
          <t xml:space="preserve">
This is the current S&amp;P rating for the firm.</t>
        </r>
      </text>
    </comment>
    <comment ref="B42" authorId="0">
      <text>
        <r>
          <rPr>
            <b/>
            <sz val="9"/>
            <rFont val="Geneva"/>
            <family val="0"/>
          </rPr>
          <t>Aswath Damodaran:</t>
        </r>
        <r>
          <rPr>
            <sz val="9"/>
            <rFont val="Geneva"/>
            <family val="0"/>
          </rPr>
          <t xml:space="preserve">
This is the current pre-tax cost of debt based upon the rating.</t>
        </r>
      </text>
    </comment>
    <comment ref="B45" authorId="0">
      <text>
        <r>
          <rPr>
            <b/>
            <sz val="9"/>
            <rFont val="Geneva"/>
            <family val="0"/>
          </rPr>
          <t>Aswath Damodaran:</t>
        </r>
        <r>
          <rPr>
            <sz val="9"/>
            <rFont val="Geneva"/>
            <family val="0"/>
          </rPr>
          <t xml:space="preserve">
If you have management options, warrants or convertibles outstanding, enter "Yes".</t>
        </r>
      </text>
    </comment>
    <comment ref="B46" authorId="0">
      <text>
        <r>
          <rPr>
            <b/>
            <sz val="9"/>
            <rFont val="Geneva"/>
            <family val="0"/>
          </rPr>
          <t>Aswath Damodaran:</t>
        </r>
        <r>
          <rPr>
            <sz val="9"/>
            <rFont val="Geneva"/>
            <family val="0"/>
          </rPr>
          <t xml:space="preserve">
Enter the number of shares that these options are entitled to.</t>
        </r>
      </text>
    </comment>
    <comment ref="B47" authorId="0">
      <text>
        <r>
          <rPr>
            <b/>
            <sz val="9"/>
            <rFont val="Geneva"/>
            <family val="0"/>
          </rPr>
          <t>Aswath Damodaran:</t>
        </r>
        <r>
          <rPr>
            <sz val="9"/>
            <rFont val="Geneva"/>
            <family val="0"/>
          </rPr>
          <t xml:space="preserve">
Enter the weighted (by number of options) exercise price on options.</t>
        </r>
      </text>
    </comment>
    <comment ref="B48" authorId="0">
      <text>
        <r>
          <rPr>
            <b/>
            <sz val="9"/>
            <rFont val="Geneva"/>
            <family val="0"/>
          </rPr>
          <t>Aswath Damodaran:</t>
        </r>
        <r>
          <rPr>
            <sz val="9"/>
            <rFont val="Geneva"/>
            <family val="0"/>
          </rPr>
          <t xml:space="preserve">
Enter the weighted (by number of options) maturity of the options</t>
        </r>
      </text>
    </comment>
    <comment ref="B49" authorId="0">
      <text>
        <r>
          <rPr>
            <b/>
            <sz val="9"/>
            <rFont val="Geneva"/>
            <family val="0"/>
          </rPr>
          <t>Aswath Damodaran:</t>
        </r>
        <r>
          <rPr>
            <sz val="9"/>
            <rFont val="Geneva"/>
            <family val="0"/>
          </rPr>
          <t xml:space="preserve">
Enter the standard deviation in the stock price. The industry average standard deviation is in the industry average worksheet.</t>
        </r>
      </text>
    </comment>
    <comment ref="B54" authorId="0">
      <text>
        <r>
          <rPr>
            <b/>
            <sz val="9"/>
            <rFont val="Geneva"/>
            <family val="0"/>
          </rPr>
          <t>Aswath Damodaran:</t>
        </r>
        <r>
          <rPr>
            <sz val="9"/>
            <rFont val="Geneva"/>
            <family val="0"/>
          </rPr>
          <t xml:space="preserve">
Enter the length of period for which your firm will be able to grow at a rate higher than the economy. (Restricted to 15 years)</t>
        </r>
      </text>
    </comment>
    <comment ref="B55" authorId="0">
      <text>
        <r>
          <rPr>
            <b/>
            <sz val="9"/>
            <rFont val="Geneva"/>
            <family val="0"/>
          </rPr>
          <t xml:space="preserve">Aswath Damodaran:
</t>
        </r>
        <r>
          <rPr>
            <sz val="9"/>
            <rFont val="Geneva"/>
            <family val="0"/>
          </rPr>
          <t>Enter the current beta for the firm. Use the bottom-up beta, if you can get it. For a private firm, use bottom-up beta.</t>
        </r>
      </text>
    </comment>
    <comment ref="B62" authorId="0">
      <text>
        <r>
          <rPr>
            <b/>
            <sz val="9"/>
            <rFont val="Geneva"/>
            <family val="0"/>
          </rPr>
          <t>Aswath Damodaran:</t>
        </r>
        <r>
          <rPr>
            <sz val="9"/>
            <rFont val="Geneva"/>
            <family val="0"/>
          </rPr>
          <t xml:space="preserve">
If you answer yes, 
g = ROC * Reinv Rate
This is the most consistent way of estimating growth in valuation.</t>
        </r>
      </text>
    </comment>
    <comment ref="B63" authorId="0">
      <text>
        <r>
          <rPr>
            <b/>
            <sz val="9"/>
            <rFont val="Geneva"/>
            <family val="0"/>
          </rPr>
          <t>Aswath Damodaran:</t>
        </r>
        <r>
          <rPr>
            <sz val="9"/>
            <rFont val="Geneva"/>
            <family val="0"/>
          </rPr>
          <t xml:space="preserve">
This can be an external estimate of growth (from analysts) or a historical growth rate in earnings.</t>
        </r>
      </text>
    </comment>
    <comment ref="B65" authorId="0">
      <text>
        <r>
          <rPr>
            <b/>
            <sz val="9"/>
            <rFont val="Geneva"/>
            <family val="0"/>
          </rPr>
          <t>Aswath Damodaran:</t>
        </r>
        <r>
          <rPr>
            <sz val="9"/>
            <rFont val="Geneva"/>
            <family val="0"/>
          </rPr>
          <t xml:space="preserve">
DO NOT INPUT. This is estimated using your inputs from above.</t>
        </r>
      </text>
    </comment>
    <comment ref="B66" authorId="0">
      <text>
        <r>
          <rPr>
            <b/>
            <sz val="9"/>
            <rFont val="Geneva"/>
            <family val="0"/>
          </rPr>
          <t>Aswath Damodaran:</t>
        </r>
        <r>
          <rPr>
            <sz val="9"/>
            <rFont val="Geneva"/>
            <family val="0"/>
          </rPr>
          <t xml:space="preserve">
DO NOT INPUT. This is based upon your inputs above.</t>
        </r>
      </text>
    </comment>
    <comment ref="B71" authorId="0">
      <text>
        <r>
          <rPr>
            <b/>
            <sz val="9"/>
            <rFont val="Geneva"/>
            <family val="0"/>
          </rPr>
          <t>Aswath Damodaran:</t>
        </r>
        <r>
          <rPr>
            <sz val="9"/>
            <rFont val="Geneva"/>
            <family val="0"/>
          </rPr>
          <t xml:space="preserve">
If you answer yes, I will adjust the cost of capital and the reinvestment rate to stable growth levels gradually during the second half of your high growth phase.</t>
        </r>
      </text>
    </comment>
    <comment ref="B74" authorId="0">
      <text>
        <r>
          <rPr>
            <b/>
            <sz val="9"/>
            <rFont val="Geneva"/>
            <family val="0"/>
          </rPr>
          <t>Aswath Damodaran:</t>
        </r>
        <r>
          <rPr>
            <sz val="9"/>
            <rFont val="Geneva"/>
            <family val="0"/>
          </rPr>
          <t xml:space="preserve">
This is a growth rate that is sustainable forever. It should be less than or equal to the growth rate of the economy (defined in real or nominal terms)</t>
        </r>
      </text>
    </comment>
    <comment ref="B75" authorId="0">
      <text>
        <r>
          <rPr>
            <b/>
            <sz val="9"/>
            <rFont val="Geneva"/>
            <family val="0"/>
          </rPr>
          <t>Aswath Damodaran:</t>
        </r>
        <r>
          <rPr>
            <sz val="9"/>
            <rFont val="Geneva"/>
            <family val="0"/>
          </rPr>
          <t xml:space="preserve">
In stable growth, this number should be between 0.8 and 1.2. If you have a high beta firm, move it down to 1.2. If you have a low beta firm move to 0.8. (I have set up an if statement to do this, but override it, at your discretion.)</t>
        </r>
      </text>
    </comment>
    <comment ref="B76" authorId="0">
      <text>
        <r>
          <rPr>
            <b/>
            <sz val="9"/>
            <rFont val="Geneva"/>
            <family val="0"/>
          </rPr>
          <t>Aswath Damodaran:</t>
        </r>
        <r>
          <rPr>
            <sz val="9"/>
            <rFont val="Geneva"/>
            <family val="0"/>
          </rPr>
          <t xml:space="preserve">
I have set it equal to your high growth input. You can override it and reset it.</t>
        </r>
      </text>
    </comment>
    <comment ref="B77" authorId="0">
      <text>
        <r>
          <rPr>
            <b/>
            <sz val="9"/>
            <rFont val="Geneva"/>
            <family val="0"/>
          </rPr>
          <t>Aswath Damodaran:</t>
        </r>
        <r>
          <rPr>
            <sz val="9"/>
            <rFont val="Geneva"/>
            <family val="0"/>
          </rPr>
          <t xml:space="preserve">
I have set it equal to your high growth input. You can override it and reset it.</t>
        </r>
      </text>
    </comment>
    <comment ref="B78" authorId="0">
      <text>
        <r>
          <rPr>
            <b/>
            <sz val="9"/>
            <rFont val="Geneva"/>
            <family val="0"/>
          </rPr>
          <t>Aswath Damodaran:</t>
        </r>
        <r>
          <rPr>
            <sz val="9"/>
            <rFont val="Geneva"/>
            <family val="0"/>
          </rPr>
          <t xml:space="preserve">
I have set it equal to your high growth input. You can override it and reset it.</t>
        </r>
      </text>
    </comment>
    <comment ref="B79" authorId="0">
      <text>
        <r>
          <rPr>
            <b/>
            <sz val="9"/>
            <rFont val="Geneva"/>
            <family val="0"/>
          </rPr>
          <t>Aswath Damodaran:</t>
        </r>
        <r>
          <rPr>
            <sz val="9"/>
            <rFont val="Geneva"/>
            <family val="0"/>
          </rPr>
          <t xml:space="preserve">
I have set it equal to your high growth input. You can override it and reset it.</t>
        </r>
      </text>
    </comment>
    <comment ref="B81" authorId="0">
      <text>
        <r>
          <rPr>
            <b/>
            <sz val="9"/>
            <rFont val="Geneva"/>
            <family val="0"/>
          </rPr>
          <t>Aswath Damodaran:</t>
        </r>
        <r>
          <rPr>
            <sz val="9"/>
            <rFont val="Geneva"/>
            <family val="0"/>
          </rPr>
          <t xml:space="preserve">
If you say Yes, I will compute your reinvestment rate in the terminal year to be g/ROC</t>
        </r>
      </text>
    </comment>
    <comment ref="B82" authorId="0">
      <text>
        <r>
          <rPr>
            <b/>
            <sz val="9"/>
            <rFont val="Geneva"/>
            <family val="0"/>
          </rPr>
          <t>Aswath Damodaran:</t>
        </r>
        <r>
          <rPr>
            <sz val="9"/>
            <rFont val="Geneva"/>
            <family val="0"/>
          </rPr>
          <t xml:space="preserve">
Enter one of the following:
1. Firm's current ROC, if those returns are sustainable in the long term.,
2. Industry average ROC, if you expect firm to approach industry norms
3. Firm's own cost on capital, if competition will drive out excess returns.
As a default, I have set it equal to the return on capital during the high growth period, but you can override it.</t>
        </r>
      </text>
    </comment>
    <comment ref="B83" authorId="0">
      <text>
        <r>
          <rPr>
            <b/>
            <sz val="9"/>
            <rFont val="Geneva"/>
            <family val="0"/>
          </rPr>
          <t>Aswath Damodaran:</t>
        </r>
        <r>
          <rPr>
            <sz val="9"/>
            <rFont val="Geneva"/>
            <family val="0"/>
          </rPr>
          <t xml:space="preserve">
Enter the industry average cap ex/depreciation ratio. Do not set below 100%. That will make your net cap ex negati ve.</t>
        </r>
      </text>
    </comment>
    <comment ref="B50" authorId="0">
      <text>
        <r>
          <rPr>
            <b/>
            <sz val="9"/>
            <rFont val="Geneva"/>
            <family val="0"/>
          </rPr>
          <t>Aswath Damodaran:</t>
        </r>
        <r>
          <rPr>
            <sz val="9"/>
            <rFont val="Geneva"/>
            <family val="0"/>
          </rPr>
          <t xml:space="preserve">
If you want to use the current stock price enter P. If you want to use your estimated value per share enter V.</t>
        </r>
      </text>
    </comment>
  </commentList>
</comments>
</file>

<file path=xl/comments3.xml><?xml version="1.0" encoding="utf-8"?>
<comments xmlns="http://schemas.openxmlformats.org/spreadsheetml/2006/main">
  <authors>
    <author>Aswath Damodaran</author>
  </authors>
  <commentList>
    <comment ref="D2" authorId="0">
      <text>
        <r>
          <rPr>
            <b/>
            <sz val="9"/>
            <rFont val="Geneva"/>
            <family val="0"/>
          </rPr>
          <t>Aswath Damodaran:</t>
        </r>
        <r>
          <rPr>
            <sz val="9"/>
            <rFont val="Geneva"/>
            <family val="0"/>
          </rPr>
          <t xml:space="preserve">
1: Historical average earnings
2: Historical average ROC
3. Sector average margin</t>
        </r>
      </text>
    </comment>
    <comment ref="D5" authorId="0">
      <text>
        <r>
          <rPr>
            <b/>
            <sz val="9"/>
            <rFont val="Geneva"/>
            <family val="0"/>
          </rPr>
          <t>Aswath Damodaran:</t>
        </r>
        <r>
          <rPr>
            <sz val="9"/>
            <rFont val="Geneva"/>
            <family val="0"/>
          </rPr>
          <t xml:space="preserve">
Enter the average EBIT over the historical period chosen (eg. Last 5 years)</t>
        </r>
      </text>
    </comment>
    <comment ref="D8" authorId="0">
      <text>
        <r>
          <rPr>
            <b/>
            <sz val="9"/>
            <rFont val="Geneva"/>
            <family val="0"/>
          </rPr>
          <t>Aswath Damodaran:</t>
        </r>
        <r>
          <rPr>
            <sz val="9"/>
            <rFont val="Geneva"/>
            <family val="0"/>
          </rPr>
          <t xml:space="preserve">
Use the average pre-tax return on capital over the historical period. (EBIT/BV of Capital)</t>
        </r>
      </text>
    </comment>
    <comment ref="D11" authorId="0">
      <text>
        <r>
          <rPr>
            <b/>
            <sz val="9"/>
            <rFont val="Geneva"/>
            <family val="0"/>
          </rPr>
          <t>Aswath Damodaran:</t>
        </r>
        <r>
          <rPr>
            <sz val="9"/>
            <rFont val="Geneva"/>
            <family val="0"/>
          </rPr>
          <t xml:space="preserve">
Look at the attached industry average worksheet.</t>
        </r>
      </text>
    </comment>
    <comment ref="D14" authorId="0">
      <text>
        <r>
          <rPr>
            <b/>
            <sz val="9"/>
            <rFont val="Geneva"/>
            <family val="0"/>
          </rPr>
          <t>Aswath Damodaran:</t>
        </r>
        <r>
          <rPr>
            <sz val="9"/>
            <rFont val="Geneva"/>
            <family val="0"/>
          </rPr>
          <t xml:space="preserve">
DO NOT INPUT. This is being calculated based upon your inputs above.</t>
        </r>
      </text>
    </comment>
  </commentList>
</comments>
</file>

<file path=xl/comments4.xml><?xml version="1.0" encoding="utf-8"?>
<comments xmlns="http://schemas.openxmlformats.org/spreadsheetml/2006/main">
  <authors>
    <author>Aswath Damodaran</author>
  </authors>
  <commentList>
    <comment ref="D40" authorId="0">
      <text>
        <r>
          <rPr>
            <b/>
            <sz val="9"/>
            <rFont val="Geneva"/>
            <family val="0"/>
          </rPr>
          <t>Aswath Damodaran:</t>
        </r>
        <r>
          <rPr>
            <sz val="9"/>
            <rFont val="Geneva"/>
            <family val="0"/>
          </rPr>
          <t xml:space="preserve">
By expensing R&amp;D rather than capitalizing it, the firm gets a tax benefit. This is the dollar value of that tax benefit.</t>
        </r>
      </text>
    </comment>
  </commentList>
</comments>
</file>

<file path=xl/sharedStrings.xml><?xml version="1.0" encoding="utf-8"?>
<sst xmlns="http://schemas.openxmlformats.org/spreadsheetml/2006/main" count="509" uniqueCount="431">
  <si>
    <t>Current Depreciation &amp; Amort'n =</t>
  </si>
  <si>
    <t>Industry Name</t>
  </si>
  <si>
    <t>Advertising</t>
  </si>
  <si>
    <t>positive. It allows for up to 15 years of high growth, and can be used either as a 2-stage or a 3-stage model.</t>
  </si>
  <si>
    <t>The inputs are in the following pages:</t>
  </si>
  <si>
    <t>Chemical (Specialty)</t>
  </si>
  <si>
    <t>Coal/Alternate Energy</t>
  </si>
  <si>
    <t>Computer &amp; Peripherals</t>
  </si>
  <si>
    <t>Computer Software &amp; Svcs</t>
  </si>
  <si>
    <t>Copper</t>
  </si>
  <si>
    <t>AA</t>
  </si>
  <si>
    <t>AAA</t>
  </si>
  <si>
    <t>Firm's Current tax rate =</t>
  </si>
  <si>
    <t>B-</t>
  </si>
  <si>
    <t>B</t>
  </si>
  <si>
    <t>B+</t>
  </si>
  <si>
    <t>BB</t>
  </si>
  <si>
    <t>BBB</t>
  </si>
  <si>
    <t>A-</t>
  </si>
  <si>
    <t>A+</t>
  </si>
  <si>
    <t>Insurance (Prop/Casualty)</t>
  </si>
  <si>
    <t>Internet</t>
  </si>
  <si>
    <t>Investment Co. (Domestic)</t>
  </si>
  <si>
    <t>Investment Co. (Foreign)</t>
  </si>
  <si>
    <t>Investment Co. (Income)</t>
  </si>
  <si>
    <t>Machinery</t>
  </si>
  <si>
    <t>Cap Ex/ Depreciation</t>
  </si>
  <si>
    <t>Sales/Capital</t>
  </si>
  <si>
    <t>Petroleum (Producing)</t>
  </si>
  <si>
    <t>Market</t>
  </si>
  <si>
    <t>(Enter 1 if large manufacturing firm, 2 if smaller or riskier firm, 3 if financial service firm)</t>
  </si>
  <si>
    <t>Do you want to keep the debt ratio computed from your inputs?</t>
  </si>
  <si>
    <t>Electrical Equipment</t>
  </si>
  <si>
    <t>! Commitment beyond year 6 converted into an annuity for ten years</t>
  </si>
  <si>
    <t>Debt Value of leases =</t>
  </si>
  <si>
    <t>Restated Financials</t>
  </si>
  <si>
    <t>Current Interest Expense =</t>
  </si>
  <si>
    <t>Auto Parts (Replacement)</t>
  </si>
  <si>
    <t>Bank</t>
  </si>
  <si>
    <t>Bank (Canadian)</t>
  </si>
  <si>
    <t>Precision Instrument</t>
  </si>
  <si>
    <t>Publishing</t>
  </si>
  <si>
    <t>Annualized dividend yield=</t>
  </si>
  <si>
    <t>Div. Adj. interest rate=</t>
  </si>
  <si>
    <t xml:space="preserve">d1 = </t>
  </si>
  <si>
    <t>&gt;</t>
  </si>
  <si>
    <t>≤ to</t>
  </si>
  <si>
    <t>Important: Be consistent about the units you use. If you use millions, use millions for all of your inputs.</t>
  </si>
  <si>
    <t>Office Equip &amp; Supplies</t>
  </si>
  <si>
    <t>Oilfield Services/Equip.</t>
  </si>
  <si>
    <t>Diversified Co.</t>
  </si>
  <si>
    <t>Drug</t>
  </si>
  <si>
    <t>Drugstore</t>
  </si>
  <si>
    <t>Educational Services</t>
  </si>
  <si>
    <t>Go to R&amp;D Converter</t>
  </si>
  <si>
    <t>Number of firms</t>
  </si>
  <si>
    <t>Pre-tax Operating Margin</t>
  </si>
  <si>
    <t>After-tax Operating Margin</t>
  </si>
  <si>
    <t>Non-cash WC/ Revenues</t>
  </si>
  <si>
    <t>Payout Ratio</t>
  </si>
  <si>
    <t>EV/Sales</t>
  </si>
  <si>
    <t>Input Summary</t>
  </si>
  <si>
    <t>! This is the interest-bearing debt reported on the balance sheet</t>
  </si>
  <si>
    <t>Free Cashflow to Firm</t>
  </si>
  <si>
    <t>! I use the average lease expense over the first five years</t>
  </si>
  <si>
    <t>to estimate the number of years of expenses in yr 6</t>
  </si>
  <si>
    <t>Converting Operating Leases into debt</t>
  </si>
  <si>
    <t>Rating is</t>
  </si>
  <si>
    <t>Spread is</t>
  </si>
  <si>
    <t>Trucking/Transp. Leasing</t>
  </si>
  <si>
    <t>Utility (Foreign)</t>
  </si>
  <si>
    <t>Do you want to compute your growth rate from fundamentals?</t>
  </si>
  <si>
    <t>If yes, the inputs to the fundamental growth calculation (based upon your inputs) are</t>
  </si>
  <si>
    <t>Reinvestment Rate =</t>
  </si>
  <si>
    <t>Do you want to convert operating leases to debt?</t>
  </si>
  <si>
    <t>Do you want to normalize operating income?</t>
  </si>
  <si>
    <t>Commitment</t>
  </si>
  <si>
    <t>! Year 1 is next year, ….</t>
  </si>
  <si>
    <t>Over how many years do you want to amortize R&amp;D expenses</t>
  </si>
  <si>
    <t>! If in doubt, use the lookup table below</t>
  </si>
  <si>
    <t>Do you want to capitalize R&amp;D expenses?</t>
  </si>
  <si>
    <t>! Yes or No</t>
  </si>
  <si>
    <t>Bottom-up beta for firm =</t>
  </si>
  <si>
    <t>! Look up industry averages</t>
  </si>
  <si>
    <t>Operating Lease Converter</t>
  </si>
  <si>
    <t>Inputs</t>
  </si>
  <si>
    <t>The spreadsheet has circular reasoning. This is not a problem. Go into calculation options (in excel) and check</t>
  </si>
  <si>
    <t>the iteration box.</t>
  </si>
  <si>
    <t>Book Value of Equity =</t>
  </si>
  <si>
    <t>Number of years embedded in yr 6 estimate =</t>
  </si>
  <si>
    <t>Metal Fabricating</t>
  </si>
  <si>
    <t>Metals &amp; Mining (Div.)</t>
  </si>
  <si>
    <t>BB+</t>
  </si>
  <si>
    <t>Market Value of Equity/share =</t>
  </si>
  <si>
    <t>Value of operating assets of the firm =</t>
  </si>
  <si>
    <t>Value of Research Asset =</t>
  </si>
  <si>
    <t>Estimated Bond Rating =</t>
  </si>
  <si>
    <t>A</t>
  </si>
  <si>
    <t>Estimated Default Spread =</t>
  </si>
  <si>
    <t>Amortization of asset for current year =</t>
  </si>
  <si>
    <t>Manuf. Housing/Rec Veh</t>
  </si>
  <si>
    <t>Electric Utility (East)</t>
  </si>
  <si>
    <t>Electric Utility (West)</t>
  </si>
  <si>
    <t>Interest  coverage ratio =</t>
  </si>
  <si>
    <t>If you have negative operating income, you will either have to normalize it to make it positive, or use the highgrowth.xls spreadsheet.</t>
  </si>
  <si>
    <t>Enter the expiration of the option =</t>
  </si>
  <si>
    <t>Enter the standard deviation in stock prices =</t>
  </si>
  <si>
    <t>Paper &amp; Forest Products</t>
  </si>
  <si>
    <t>Petroleum (Integrated)</t>
  </si>
  <si>
    <t>D</t>
  </si>
  <si>
    <t>C</t>
  </si>
  <si>
    <t>CC</t>
  </si>
  <si>
    <t>CCC</t>
  </si>
  <si>
    <t>reinvestment rates and working capital.</t>
  </si>
  <si>
    <t>Do you have equity options (management options, warrants) outstanding?</t>
  </si>
  <si>
    <t>Adjusted S =</t>
  </si>
  <si>
    <t>Adjusted K =</t>
  </si>
  <si>
    <t>Do you want to use the stock price to value the option or your estimated value?</t>
  </si>
  <si>
    <t>P</t>
  </si>
  <si>
    <t>Stock Price=</t>
  </si>
  <si>
    <t># Warrants issued=</t>
  </si>
  <si>
    <t>Cumulated Cost of Capital</t>
  </si>
  <si>
    <t>If historical average,</t>
  </si>
  <si>
    <t>If not, what is the current rating of the firm?</t>
  </si>
  <si>
    <t>Enter the cost of debt associated with the rating =</t>
  </si>
  <si>
    <t>3. If you have R&amp;D or operating leases, you will need to input the required numbers in those worksheets.</t>
  </si>
  <si>
    <t>Other worksheets</t>
  </si>
  <si>
    <t>Non-technological Service</t>
  </si>
  <si>
    <t>Adjusted Capital Spending</t>
  </si>
  <si>
    <t>Financial Services</t>
  </si>
  <si>
    <t>Normalized Earnings before interest and taxes =</t>
  </si>
  <si>
    <t>Inputs for synthetic rating estimation</t>
  </si>
  <si>
    <t>Average Earnings before interest and taxes =</t>
  </si>
  <si>
    <t>Value at the end of growth phase =</t>
  </si>
  <si>
    <t>Present Value of FCFF in high growth phase =</t>
  </si>
  <si>
    <t>3 years</t>
  </si>
  <si>
    <t>Risk Premium =</t>
  </si>
  <si>
    <t>Length of High Growth Period =</t>
  </si>
  <si>
    <t>Forever</t>
  </si>
  <si>
    <t>Cost of Debt =</t>
  </si>
  <si>
    <t>Total</t>
  </si>
  <si>
    <t>Tax Rate =</t>
  </si>
  <si>
    <t>Tax Rate to use in stable growth period =</t>
  </si>
  <si>
    <t>Growth Rate =</t>
  </si>
  <si>
    <t>If no,  enter capital expenditure as % of depreciation in stable growth</t>
  </si>
  <si>
    <t>Firm's Current market value D/E ratio =</t>
  </si>
  <si>
    <t>Water Utility</t>
  </si>
  <si>
    <t>ROC</t>
  </si>
  <si>
    <t>Approach used to normalize earnings =</t>
  </si>
  <si>
    <t>If long term interest coverage ratio is</t>
  </si>
  <si>
    <t>Shoe</t>
  </si>
  <si>
    <t>Steel (General)</t>
  </si>
  <si>
    <t>Steel (Integrated)</t>
  </si>
  <si>
    <t>Worksheet for normalization (Last 5 years of data)</t>
  </si>
  <si>
    <t>Current Revenues =</t>
  </si>
  <si>
    <t>Current Non-cash Working Capital =</t>
  </si>
  <si>
    <t>Chg. Working Capital =</t>
  </si>
  <si>
    <t>Master Input Sheet</t>
  </si>
  <si>
    <t>Reinvestment Rate</t>
  </si>
  <si>
    <t>If no, enter the ratio of working capital to revenues to use in analysis</t>
  </si>
  <si>
    <t>inputs adjusted during the second half of the high growth phase.</t>
  </si>
  <si>
    <t>Before you start</t>
  </si>
  <si>
    <t xml:space="preserve">1. Bottom-up beta estimator: will estimate your levered beta, given an unlevered beta (which you will have to </t>
  </si>
  <si>
    <t>input.</t>
  </si>
  <si>
    <t xml:space="preserve">2. Industry averages: Here, you can look up industry averages for variables such as beta, return on capital, </t>
  </si>
  <si>
    <t>Insurance (Diversified)</t>
  </si>
  <si>
    <t>Standard Deviation in stock price</t>
  </si>
  <si>
    <t>There are two other worksheets that you might find useful at the end of this spreadsheet</t>
  </si>
  <si>
    <t>! If negative, go back and choose to normalize earnings.</t>
  </si>
  <si>
    <t>Enter the type of firm =</t>
  </si>
  <si>
    <t>Current</t>
  </si>
  <si>
    <t>Valuation</t>
  </si>
  <si>
    <t xml:space="preserve">for a stable growth phase (2-stage model) or it can be adjusted to allow for a transition phase (3-stage model). </t>
  </si>
  <si>
    <t>An apology: I apologize for the number of inputs that are required on this sheet. Many of the inputs are required only if you choose the appropriate option, though.</t>
  </si>
  <si>
    <t>Debt Ratio to use in stable growth period =</t>
  </si>
  <si>
    <t>Risk premium for equity in stable growth period =</t>
  </si>
  <si>
    <t>Current Capital Spending</t>
  </si>
  <si>
    <t>Tax Rate on Income =</t>
  </si>
  <si>
    <t>6 and beyond</t>
  </si>
  <si>
    <t>Light Manufacturing</t>
  </si>
  <si>
    <t>5 years</t>
  </si>
  <si>
    <t>! If yes, use the rating estimator worksheet that is attached</t>
  </si>
  <si>
    <t>The maximum allowed is ten years</t>
  </si>
  <si>
    <t>Previous year-end</t>
  </si>
  <si>
    <t>Long Term Treasury bond rate=</t>
  </si>
  <si>
    <t>Risk premium for equity =</t>
  </si>
  <si>
    <t>Pre-tax Cost of Debt =</t>
  </si>
  <si>
    <t>Revenues</t>
  </si>
  <si>
    <t>! If you do not have a cost of debt, use the ratings estimator</t>
  </si>
  <si>
    <t>From the current financial statements, enter the following</t>
  </si>
  <si>
    <t>Reported Operating Income (EBIT) =</t>
  </si>
  <si>
    <t>Equity/(Debt+Equity ) =</t>
  </si>
  <si>
    <t>After-tax Cost of debt =</t>
  </si>
  <si>
    <t>Debt/(Debt +Equity) =</t>
  </si>
  <si>
    <t>Cost of Capital</t>
  </si>
  <si>
    <t>Cost of Capital =</t>
  </si>
  <si>
    <t>Cash &amp; Marketable Securities =</t>
  </si>
  <si>
    <t>Value of Non-operating Assets =</t>
  </si>
  <si>
    <t>Enter current Earnings before interest and taxes (EBIT) =</t>
  </si>
  <si>
    <t xml:space="preserve">d2 = </t>
  </si>
  <si>
    <t>N (d2) =</t>
  </si>
  <si>
    <t>If historical average ROC,</t>
  </si>
  <si>
    <t>Value of Firm =</t>
  </si>
  <si>
    <t>Go to Operating lease converter</t>
  </si>
  <si>
    <t>(Add back only long term interest expense for financial firms)</t>
  </si>
  <si>
    <t>Electronics</t>
  </si>
  <si>
    <t>Air Transport</t>
  </si>
  <si>
    <t>Aluminum</t>
  </si>
  <si>
    <t>Apparel</t>
  </si>
  <si>
    <t>This spreadsheet converts R&amp;D expenses from operating to capital expenses. It makes the appropriate adjustments to operating income, net</t>
  </si>
  <si>
    <t>Thrift</t>
  </si>
  <si>
    <t>For financial service firms</t>
  </si>
  <si>
    <t>Telecom. Services</t>
  </si>
  <si>
    <t>Estimated Cost of Debt =</t>
  </si>
  <si>
    <t>For large manufacturing firms</t>
  </si>
  <si>
    <t>If yes, enter the following:</t>
  </si>
  <si>
    <t>financial statements, and review and change the inputs for the valuation.</t>
  </si>
  <si>
    <t>Operating Income Decline</t>
  </si>
  <si>
    <t>Medical Supplies</t>
  </si>
  <si>
    <t>Reported Debt =</t>
  </si>
  <si>
    <t>Telecom. Equipment</t>
  </si>
  <si>
    <t>Beta used for stock =</t>
  </si>
  <si>
    <t>Growth rate during stable growth period =</t>
  </si>
  <si>
    <t>Average maturity</t>
  </si>
  <si>
    <t>Research, with Patenting</t>
  </si>
  <si>
    <t>Long Gestation Period</t>
  </si>
  <si>
    <t>Length of high growth period =</t>
  </si>
  <si>
    <t>Is your stock currently traded?</t>
  </si>
  <si>
    <t>Market Data for your firm</t>
  </si>
  <si>
    <t>Do you want to estimate the firm's synthetic rating =</t>
  </si>
  <si>
    <t>If yes, choose the type of firm</t>
  </si>
  <si>
    <t>Growth Rate in Stable Phase =</t>
  </si>
  <si>
    <t>FCFF in Stable Phase =</t>
  </si>
  <si>
    <t>Options</t>
  </si>
  <si>
    <t>Depreciation on Operating Lease Asset =</t>
  </si>
  <si>
    <t>! I use straight line depreciation</t>
  </si>
  <si>
    <t>R &amp; D Converter</t>
  </si>
  <si>
    <t>Auto Parts (OEM)</t>
  </si>
  <si>
    <t>Beverage (Soft Drink)</t>
  </si>
  <si>
    <t>Building Materials</t>
  </si>
  <si>
    <t>Enter R&amp; D expenses for past years: the number of years that you will need to enter will be determined by the amortization period</t>
  </si>
  <si>
    <t>To compute the reinvestment rate in stable growth, you have two options</t>
  </si>
  <si>
    <t>EBIT * (1 - tax rate)</t>
  </si>
  <si>
    <t>Book Value of Debt =</t>
  </si>
  <si>
    <t>Electric Util. (Central)</t>
  </si>
  <si>
    <t>Valuing Options or Warrants</t>
  </si>
  <si>
    <t xml:space="preserve">Value per option = </t>
  </si>
  <si>
    <t>Value of all options outstanding =</t>
  </si>
  <si>
    <t>Current Stock Price =</t>
  </si>
  <si>
    <t>R.E.I.T.</t>
  </si>
  <si>
    <t>Railroad</t>
  </si>
  <si>
    <t>Recreation</t>
  </si>
  <si>
    <t>Restaurant</t>
  </si>
  <si>
    <t>Look Up Table for Amortization Periods</t>
  </si>
  <si>
    <t>EBIT</t>
  </si>
  <si>
    <t>Operating Margin</t>
  </si>
  <si>
    <t>Beta to use in stable growth period =</t>
  </si>
  <si>
    <t>Natural Gas (Diversified)</t>
  </si>
  <si>
    <t>Newspaper</t>
  </si>
  <si>
    <t>Semiconductor</t>
  </si>
  <si>
    <t>Semiconductor Cap Equip</t>
  </si>
  <si>
    <t>Operating Lease Commitments (From footnote to financials)</t>
  </si>
  <si>
    <t>Output from the program</t>
  </si>
  <si>
    <t>Cost of Equity =</t>
  </si>
  <si>
    <t>You can even make it a stable growth model, by setting the length of the high growth period to zero.</t>
  </si>
  <si>
    <t>Intermediate Output</t>
  </si>
  <si>
    <t>The FCFF for the high growth phase are shown below (upto 10 years)</t>
  </si>
  <si>
    <t>Packaging &amp; Container</t>
  </si>
  <si>
    <t>Auto &amp; Truck</t>
  </si>
  <si>
    <t>Riskfree rate =</t>
  </si>
  <si>
    <t>Do you want to change these inputs?</t>
  </si>
  <si>
    <t>Levered Beta</t>
  </si>
  <si>
    <t>Market D/E</t>
  </si>
  <si>
    <t>Market Debt/Capital</t>
  </si>
  <si>
    <t>Effective Tax Rate</t>
  </si>
  <si>
    <t>ROE</t>
  </si>
  <si>
    <t>Net Margin</t>
  </si>
  <si>
    <t>Amortization Period</t>
  </si>
  <si>
    <t>Enter current long term government bond rate =</t>
  </si>
  <si>
    <t>Output</t>
  </si>
  <si>
    <t>Insurance (Life)</t>
  </si>
  <si>
    <t>income, the book value of assets and the book value of equity.</t>
  </si>
  <si>
    <t>Normalized EBIT (before adjustments)</t>
  </si>
  <si>
    <t>Pre-tax Operating Margin for Sector =</t>
  </si>
  <si>
    <t>! Look at industry average</t>
  </si>
  <si>
    <t>Adjusted EBIT =</t>
  </si>
  <si>
    <t>Adjusted Book Value of Debt =</t>
  </si>
  <si>
    <t>greater than</t>
  </si>
  <si>
    <t>Debt Ratio used in Cost of Capital Calculation=</t>
  </si>
  <si>
    <t>Unamortized portion</t>
  </si>
  <si>
    <t>Adjusted Depreciation &amp; Amort'n =</t>
  </si>
  <si>
    <t xml:space="preserve">To switch from one to the other, enter yes in the master input page to the question of whether you want the </t>
  </si>
  <si>
    <t>Terminal Year</t>
  </si>
  <si>
    <t>Cost of Equity in Stable Phase =</t>
  </si>
  <si>
    <t>Equity/ (Equity + Debt) =</t>
  </si>
  <si>
    <t>From Current Financials</t>
  </si>
  <si>
    <t>Valuation Inputs</t>
  </si>
  <si>
    <t>High Growth Period</t>
  </si>
  <si>
    <t>Gold/Silver Mining</t>
  </si>
  <si>
    <t>Grocery</t>
  </si>
  <si>
    <t>Healthcare Info Systems</t>
  </si>
  <si>
    <t>R&amp; D Expenses</t>
  </si>
  <si>
    <t>Present Value</t>
  </si>
  <si>
    <t>(in percent)</t>
  </si>
  <si>
    <t>If yes, enter the number of options</t>
  </si>
  <si>
    <t xml:space="preserve">Average strike price </t>
  </si>
  <si>
    <t>Would you like to use the book value debt ratio?</t>
  </si>
  <si>
    <t>If no, enter the debt ratio to use in valuation</t>
  </si>
  <si>
    <t>Stable Growth Period</t>
  </si>
  <si>
    <t>Heavy  Manufacturing</t>
  </si>
  <si>
    <t>Normalizing Earnings</t>
  </si>
  <si>
    <t>Debt/ (Equity + Debt)  =</t>
  </si>
  <si>
    <t>If yes, the debt ratio that will be used to compute the cost of capital is</t>
  </si>
  <si>
    <t>Present Value of Terminal Value of Firm =</t>
  </si>
  <si>
    <t>Market Value of outstanding debt =</t>
  </si>
  <si>
    <t>Market Value of Equity =</t>
  </si>
  <si>
    <t>Strike Price=</t>
  </si>
  <si>
    <t>Do you want to compute reinvestment needs in stable growth based on fundamentals?</t>
  </si>
  <si>
    <t># Shares outstanding=</t>
  </si>
  <si>
    <t>T.Bond rate=</t>
  </si>
  <si>
    <t>Variance=</t>
  </si>
  <si>
    <t>Expiration (in years) =</t>
  </si>
  <si>
    <t>Return on Capital =</t>
  </si>
  <si>
    <t>Adjustment to Operating Earnings =</t>
  </si>
  <si>
    <t>Adjustment to Total Debt outstanding =</t>
  </si>
  <si>
    <t>Ratings</t>
  </si>
  <si>
    <t>Historical average pre-tax return on capital =</t>
  </si>
  <si>
    <t>If sector margin</t>
  </si>
  <si>
    <t>N (d1) =</t>
  </si>
  <si>
    <t>2 years</t>
  </si>
  <si>
    <t>Retail, Tech Service</t>
  </si>
  <si>
    <t>! PV of operating leases * Pre-tax cost of debt</t>
  </si>
  <si>
    <t>! Reverted back to conventional debt to equity ratio</t>
  </si>
  <si>
    <t>Retail (Special Lines)</t>
  </si>
  <si>
    <t>Retail Building Supply</t>
  </si>
  <si>
    <t>Retail Store</t>
  </si>
  <si>
    <t>Securities Brokerage</t>
  </si>
  <si>
    <t>Year</t>
  </si>
  <si>
    <t>Tobacco</t>
  </si>
  <si>
    <t>Food Processing</t>
  </si>
  <si>
    <t>Food Wholesalers</t>
  </si>
  <si>
    <t>Aerospace/Defense</t>
  </si>
  <si>
    <t>Unlevered beta for sector =</t>
  </si>
  <si>
    <t>Enter the number of warrants (options) outstanding =</t>
  </si>
  <si>
    <t>R&amp;D Expense</t>
  </si>
  <si>
    <t>Toiletries/Cosmetics</t>
  </si>
  <si>
    <t>Tire &amp; Rubber</t>
  </si>
  <si>
    <t>Maritime</t>
  </si>
  <si>
    <t>Medical Services</t>
  </si>
  <si>
    <t>This model is designed to value firms with operating income that is either positive or can be normalized to be</t>
  </si>
  <si>
    <t>10 years</t>
  </si>
  <si>
    <t>The output is contained in the valuation model worksheet.</t>
  </si>
  <si>
    <t>Number of shares outstanding =</t>
  </si>
  <si>
    <t>No</t>
  </si>
  <si>
    <t>Tax Effect of R&amp;D Expensing</t>
  </si>
  <si>
    <t>Entertainment</t>
  </si>
  <si>
    <t>Environmental</t>
  </si>
  <si>
    <t>Foreign Electron/Entertn</t>
  </si>
  <si>
    <t>! A positive number indicates an increase in operating income (add to reported EBIT)</t>
  </si>
  <si>
    <t>Do not input numbers in the first column (Year). It will get automatically updated  based on the input above.</t>
  </si>
  <si>
    <t>Adjusted Interest Expense =</t>
  </si>
  <si>
    <t>Chemical (Basic)</t>
  </si>
  <si>
    <t>Chemical (Diversified)</t>
  </si>
  <si>
    <t>Bank (Foreign)</t>
  </si>
  <si>
    <t>Bank (Midwest)</t>
  </si>
  <si>
    <t>Cable TV</t>
  </si>
  <si>
    <t>Canadian Energy</t>
  </si>
  <si>
    <t>Cement &amp; Aggregates</t>
  </si>
  <si>
    <t>(volatility)</t>
  </si>
  <si>
    <t>What the model does</t>
  </si>
  <si>
    <t>Working Capital as percent of revenues =</t>
  </si>
  <si>
    <t xml:space="preserve"> (in percent)</t>
  </si>
  <si>
    <t>Do not input any numbers below this line</t>
  </si>
  <si>
    <t>VALUING WARRANTS WHEN THERE IS DILUTION</t>
  </si>
  <si>
    <t xml:space="preserve"> -Chg. Working Capital</t>
  </si>
  <si>
    <t>Amortization this year</t>
  </si>
  <si>
    <t>Natural Gas (Distrib.)</t>
  </si>
  <si>
    <t>If no, enter the debt ratio that you would like to use in the high growth period</t>
  </si>
  <si>
    <t>If no, enter the expected growth rate in operating income for high growth period</t>
  </si>
  <si>
    <t>Operating lease expense in current year =</t>
  </si>
  <si>
    <t>Yes</t>
  </si>
  <si>
    <t>Value of Equity in Options =</t>
  </si>
  <si>
    <t>Value of Equity in Common Stock =</t>
  </si>
  <si>
    <t>Home Appliance</t>
  </si>
  <si>
    <t>Beverage (Alcoholic)</t>
  </si>
  <si>
    <t>Go to Earnings Normalizer</t>
  </si>
  <si>
    <t xml:space="preserve"> - (CapEx-Depreciation)</t>
  </si>
  <si>
    <t>Cost of Capital in Stable Phase =</t>
  </si>
  <si>
    <t>Enter current interest expenses =</t>
  </si>
  <si>
    <t>Enter the annualized dividend yield on stock =</t>
  </si>
  <si>
    <t>Enter the treasury bond rate =</t>
  </si>
  <si>
    <t>General Market Data</t>
  </si>
  <si>
    <t>The spreadsheet can be used to value a company, with fixed inputs for a high growth phase and different inputs</t>
  </si>
  <si>
    <t>Adjustment to Operating Income =</t>
  </si>
  <si>
    <t>FCFF VALUATION MODEL</t>
  </si>
  <si>
    <t>Homebuilding</t>
  </si>
  <si>
    <t>Hotel/Gaming</t>
  </si>
  <si>
    <t>Household Products</t>
  </si>
  <si>
    <t>Industrial Services</t>
  </si>
  <si>
    <r>
      <t xml:space="preserve">1. The bulk of the inputs are in the </t>
    </r>
    <r>
      <rPr>
        <sz val="10"/>
        <color indexed="10"/>
        <rFont val="Times"/>
        <family val="0"/>
      </rPr>
      <t>master inputs page</t>
    </r>
    <r>
      <rPr>
        <sz val="10"/>
        <rFont val="Times"/>
        <family val="0"/>
      </rPr>
      <t>. Here, you can input the numbers from the current</t>
    </r>
  </si>
  <si>
    <r>
      <t xml:space="preserve">2. If you want to normalized operating income, use the </t>
    </r>
    <r>
      <rPr>
        <sz val="10"/>
        <color indexed="10"/>
        <rFont val="Times"/>
        <family val="0"/>
      </rPr>
      <t>earnings normalizer</t>
    </r>
    <r>
      <rPr>
        <sz val="10"/>
        <rFont val="Times"/>
        <family val="0"/>
      </rPr>
      <t xml:space="preserve"> worksheet.</t>
    </r>
  </si>
  <si>
    <t>Enter the number of shares outstanding =</t>
  </si>
  <si>
    <t>Enter the current year's R&amp;D expense =</t>
  </si>
  <si>
    <t>! Year -1 is the year prior to the current year</t>
  </si>
  <si>
    <t>! Year -2 is the two years prior to the current year</t>
  </si>
  <si>
    <t>(Use only long term interest expense for financial firms)</t>
  </si>
  <si>
    <t>Beta to use for high growth period for your firm=</t>
  </si>
  <si>
    <t>Expected Growth Rate</t>
  </si>
  <si>
    <t>AT Cost of Debt in Stable Phase =</t>
  </si>
  <si>
    <t>Unlevered Beta</t>
  </si>
  <si>
    <t>For smaller and riskier firms</t>
  </si>
  <si>
    <t>Bottom-up Beta Calculator</t>
  </si>
  <si>
    <t>If no, enter the following</t>
  </si>
  <si>
    <t>If yes, enter the return on capital that the firm will have in stable growth</t>
  </si>
  <si>
    <t>! This is the EBIT reported in the current income statement</t>
  </si>
  <si>
    <t>Do you want to keep the existing ratio of working capital to revenue?</t>
  </si>
  <si>
    <t>If yes, the working capital as a percent of revenues will be</t>
  </si>
  <si>
    <t>Market Value of Debt =</t>
  </si>
  <si>
    <t>Adjusted Book Value of Equity =</t>
  </si>
  <si>
    <t>Foreign Telecom.</t>
  </si>
  <si>
    <t>Furn./Home Furnishings</t>
  </si>
  <si>
    <t>Do you want me to gradually adjust your high growth inputs in the second half?</t>
  </si>
  <si>
    <t>Reinvestment Rate in Stable Phase =</t>
  </si>
  <si>
    <t>Cumulated Growth</t>
  </si>
  <si>
    <t>Textile</t>
  </si>
  <si>
    <t>Pre-tax cost of debt in stable growth period =</t>
  </si>
  <si>
    <t>If interest coverage ratio is</t>
  </si>
  <si>
    <t>Value of Cash, Marketable Securities &amp; Non-operating assets =</t>
  </si>
  <si>
    <t>Current EBIT =</t>
  </si>
  <si>
    <t>Enter the current stock price =</t>
  </si>
  <si>
    <t>Enter the strike price on the option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</si>
</sst>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
    <numFmt numFmtId="167" formatCode="0.0000000"/>
    <numFmt numFmtId="168" formatCode="0.000000"/>
    <numFmt numFmtId="169" formatCode="0.00000"/>
    <numFmt numFmtId="170" formatCode="0.0000"/>
    <numFmt numFmtId="171" formatCode="0.000"/>
    <numFmt numFmtId="172" formatCode="&quot;$&quot;#,##0.00"/>
    <numFmt numFmtId="173" formatCode="#,##0.0000"/>
    <numFmt numFmtId="174" formatCode="&quot;$&quot;#,##0.0_);[Red]\(&quot;$&quot;#,##0.0\)"/>
    <numFmt numFmtId="175" formatCode="&quot;$&quot;#,##0.000_);[Red]\(&quot;$&quot;#,##0.000\)"/>
    <numFmt numFmtId="176" formatCode="0.000%"/>
    <numFmt numFmtId="177" formatCode="#,##0.000"/>
    <numFmt numFmtId="178" formatCode="0.0000%"/>
  </numFmts>
  <fonts count="29">
    <font>
      <sz val="10"/>
      <name val="Geneva"/>
      <family val="0"/>
    </font>
    <font>
      <b/>
      <sz val="10"/>
      <name val="Geneva"/>
      <family val="0"/>
    </font>
    <font>
      <i/>
      <sz val="10"/>
      <name val="Geneva"/>
      <family val="0"/>
    </font>
    <font>
      <b/>
      <i/>
      <sz val="10"/>
      <name val="Geneva"/>
      <family val="0"/>
    </font>
    <font>
      <sz val="14"/>
      <name val="Times"/>
      <family val="0"/>
    </font>
    <font>
      <sz val="12"/>
      <name val="Times"/>
      <family val="0"/>
    </font>
    <font>
      <sz val="10"/>
      <name val="Times"/>
      <family val="0"/>
    </font>
    <font>
      <b/>
      <i/>
      <sz val="10"/>
      <name val="Times"/>
      <family val="0"/>
    </font>
    <font>
      <b/>
      <sz val="10"/>
      <name val="Times"/>
      <family val="0"/>
    </font>
    <font>
      <i/>
      <sz val="10"/>
      <name val="Times"/>
      <family val="0"/>
    </font>
    <font>
      <sz val="9"/>
      <name val="Geneva"/>
      <family val="0"/>
    </font>
    <font>
      <b/>
      <sz val="9"/>
      <name val="Geneva"/>
      <family val="0"/>
    </font>
    <font>
      <b/>
      <sz val="14"/>
      <name val="Times"/>
      <family val="0"/>
    </font>
    <font>
      <b/>
      <i/>
      <sz val="9"/>
      <name val="Geneva"/>
      <family val="0"/>
    </font>
    <font>
      <sz val="9"/>
      <name val="Times"/>
      <family val="0"/>
    </font>
    <font>
      <b/>
      <sz val="9"/>
      <name val="Times"/>
      <family val="0"/>
    </font>
    <font>
      <b/>
      <sz val="12"/>
      <name val="Times"/>
      <family val="0"/>
    </font>
    <font>
      <b/>
      <sz val="14"/>
      <name val="Geneva"/>
      <family val="0"/>
    </font>
    <font>
      <sz val="14"/>
      <name val="Geneva"/>
      <family val="0"/>
    </font>
    <font>
      <b/>
      <sz val="10"/>
      <color indexed="10"/>
      <name val="Times"/>
      <family val="0"/>
    </font>
    <font>
      <sz val="14"/>
      <color indexed="10"/>
      <name val="Times"/>
      <family val="0"/>
    </font>
    <font>
      <sz val="10"/>
      <color indexed="10"/>
      <name val="Times"/>
      <family val="0"/>
    </font>
    <font>
      <sz val="10"/>
      <color indexed="10"/>
      <name val="Geneva"/>
      <family val="0"/>
    </font>
    <font>
      <b/>
      <sz val="14"/>
      <color indexed="10"/>
      <name val="Times"/>
      <family val="0"/>
    </font>
    <font>
      <sz val="8"/>
      <name val="Geneva"/>
      <family val="0"/>
    </font>
    <font>
      <u val="single"/>
      <sz val="10"/>
      <color indexed="12"/>
      <name val="Geneva"/>
      <family val="0"/>
    </font>
    <font>
      <u val="single"/>
      <sz val="10"/>
      <color indexed="36"/>
      <name val="Geneva"/>
      <family val="0"/>
    </font>
    <font>
      <i/>
      <sz val="9"/>
      <name val="Geneva"/>
      <family val="0"/>
    </font>
    <font>
      <b/>
      <sz val="8"/>
      <name val="Geneva"/>
      <family val="2"/>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9">
    <border>
      <left/>
      <right/>
      <top/>
      <bottom/>
      <diagonal/>
    </border>
    <border>
      <left style="thin"/>
      <right style="thin"/>
      <top style="thin"/>
      <bottom style="thin"/>
    </border>
    <border>
      <left style="medium"/>
      <right style="medium"/>
      <top style="medium"/>
      <bottom style="medium"/>
    </border>
    <border>
      <left style="medium"/>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8"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144">
    <xf numFmtId="0" fontId="0" fillId="0" borderId="0" xfId="0" applyAlignment="1">
      <alignment/>
    </xf>
    <xf numFmtId="0" fontId="4" fillId="0" borderId="0" xfId="0" applyFont="1" applyAlignment="1">
      <alignment horizontal="centerContinuous"/>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0" fontId="6" fillId="0" borderId="0" xfId="0" applyFont="1" applyAlignment="1">
      <alignment horizontal="centerContinuous"/>
    </xf>
    <xf numFmtId="0" fontId="7" fillId="0" borderId="0" xfId="0" applyFont="1" applyAlignment="1">
      <alignment/>
    </xf>
    <xf numFmtId="0" fontId="8" fillId="0" borderId="0" xfId="0" applyFont="1" applyAlignment="1">
      <alignment/>
    </xf>
    <xf numFmtId="0" fontId="9" fillId="0" borderId="0" xfId="0" applyFont="1" applyAlignment="1">
      <alignment/>
    </xf>
    <xf numFmtId="0" fontId="6" fillId="0" borderId="0" xfId="0" applyFont="1" applyAlignment="1">
      <alignment horizontal="center"/>
    </xf>
    <xf numFmtId="8" fontId="6" fillId="0" borderId="0" xfId="16" applyFont="1" applyAlignment="1">
      <alignment horizontal="center"/>
    </xf>
    <xf numFmtId="8" fontId="6" fillId="0" borderId="0" xfId="16" applyFont="1" applyBorder="1" applyAlignment="1">
      <alignment horizontal="center"/>
    </xf>
    <xf numFmtId="0" fontId="6" fillId="0" borderId="1" xfId="0" applyFont="1" applyBorder="1" applyAlignment="1">
      <alignment/>
    </xf>
    <xf numFmtId="0" fontId="6" fillId="0" borderId="1" xfId="0" applyFont="1" applyBorder="1" applyAlignment="1">
      <alignment horizontal="center"/>
    </xf>
    <xf numFmtId="10" fontId="6" fillId="0" borderId="1" xfId="0" applyNumberFormat="1" applyFont="1" applyBorder="1" applyAlignment="1">
      <alignment horizontal="center"/>
    </xf>
    <xf numFmtId="10" fontId="6" fillId="0" borderId="0" xfId="0" applyNumberFormat="1" applyFont="1" applyAlignment="1">
      <alignment horizontal="center"/>
    </xf>
    <xf numFmtId="10" fontId="6" fillId="0" borderId="1" xfId="19" applyNumberFormat="1" applyFont="1" applyBorder="1" applyAlignment="1">
      <alignment horizontal="center"/>
    </xf>
    <xf numFmtId="0" fontId="8" fillId="0" borderId="0" xfId="0" applyFont="1" applyAlignment="1">
      <alignment horizontal="center"/>
    </xf>
    <xf numFmtId="0" fontId="6" fillId="0" borderId="0" xfId="0" applyFont="1" applyBorder="1" applyAlignment="1">
      <alignment/>
    </xf>
    <xf numFmtId="0" fontId="9" fillId="0" borderId="0" xfId="0" applyFont="1" applyAlignment="1">
      <alignment horizontal="center"/>
    </xf>
    <xf numFmtId="0" fontId="6" fillId="0" borderId="0" xfId="0" applyFont="1" applyAlignment="1">
      <alignment horizontal="left"/>
    </xf>
    <xf numFmtId="0" fontId="12" fillId="0" borderId="0" xfId="0" applyFont="1" applyAlignment="1">
      <alignment horizontal="centerContinuous"/>
    </xf>
    <xf numFmtId="0" fontId="4" fillId="0" borderId="0" xfId="0" applyFont="1" applyAlignment="1">
      <alignment/>
    </xf>
    <xf numFmtId="2" fontId="6" fillId="0" borderId="1" xfId="0" applyNumberFormat="1" applyFont="1" applyBorder="1" applyAlignment="1">
      <alignment horizontal="center"/>
    </xf>
    <xf numFmtId="10" fontId="6" fillId="0" borderId="0" xfId="19" applyNumberFormat="1" applyFont="1" applyAlignment="1">
      <alignment horizontal="center"/>
    </xf>
    <xf numFmtId="2" fontId="6" fillId="0" borderId="0" xfId="0" applyNumberFormat="1" applyFont="1" applyAlignment="1">
      <alignment/>
    </xf>
    <xf numFmtId="0" fontId="12" fillId="0" borderId="0" xfId="0" applyFont="1" applyAlignment="1">
      <alignment/>
    </xf>
    <xf numFmtId="0" fontId="6" fillId="0" borderId="2" xfId="0" applyFont="1" applyBorder="1" applyAlignment="1">
      <alignment/>
    </xf>
    <xf numFmtId="0" fontId="0" fillId="0" borderId="0" xfId="0" applyFont="1" applyAlignment="1">
      <alignment/>
    </xf>
    <xf numFmtId="10" fontId="6" fillId="0" borderId="2" xfId="0" applyNumberFormat="1" applyFont="1" applyBorder="1" applyAlignment="1">
      <alignment/>
    </xf>
    <xf numFmtId="2" fontId="8" fillId="0" borderId="2" xfId="0" applyNumberFormat="1" applyFont="1" applyBorder="1" applyAlignment="1">
      <alignment horizontal="center"/>
    </xf>
    <xf numFmtId="0" fontId="1" fillId="0" borderId="3" xfId="0" applyFont="1" applyBorder="1" applyAlignment="1">
      <alignment horizontal="center"/>
    </xf>
    <xf numFmtId="10" fontId="8" fillId="0" borderId="2" xfId="0" applyNumberFormat="1" applyFont="1" applyBorder="1" applyAlignment="1">
      <alignment horizontal="center"/>
    </xf>
    <xf numFmtId="10" fontId="8" fillId="0" borderId="0" xfId="0" applyNumberFormat="1" applyFont="1" applyBorder="1" applyAlignment="1">
      <alignment horizontal="center"/>
    </xf>
    <xf numFmtId="0" fontId="9" fillId="0" borderId="1" xfId="0" applyFont="1" applyBorder="1" applyAlignment="1">
      <alignment horizontal="centerContinuous"/>
    </xf>
    <xf numFmtId="0" fontId="9" fillId="0" borderId="1" xfId="0" applyFont="1" applyBorder="1" applyAlignment="1">
      <alignment/>
    </xf>
    <xf numFmtId="0" fontId="9" fillId="0" borderId="0" xfId="0" applyFont="1" applyAlignment="1">
      <alignment/>
    </xf>
    <xf numFmtId="0" fontId="9" fillId="0" borderId="1" xfId="0" applyFont="1" applyBorder="1" applyAlignment="1">
      <alignment horizontal="center"/>
    </xf>
    <xf numFmtId="0" fontId="6" fillId="0" borderId="1" xfId="0" applyFont="1" applyBorder="1" applyAlignment="1">
      <alignment horizontal="centerContinuous"/>
    </xf>
    <xf numFmtId="8" fontId="6" fillId="0" borderId="2" xfId="0" applyNumberFormat="1" applyFont="1" applyBorder="1" applyAlignment="1">
      <alignment/>
    </xf>
    <xf numFmtId="10" fontId="8" fillId="0" borderId="2" xfId="19" applyNumberFormat="1" applyFont="1" applyBorder="1" applyAlignment="1">
      <alignment horizontal="center"/>
    </xf>
    <xf numFmtId="10" fontId="6" fillId="0" borderId="1" xfId="19" applyNumberFormat="1" applyFont="1" applyBorder="1" applyAlignment="1">
      <alignment/>
    </xf>
    <xf numFmtId="10" fontId="6" fillId="0" borderId="1" xfId="0" applyNumberFormat="1" applyFont="1" applyBorder="1" applyAlignment="1">
      <alignment/>
    </xf>
    <xf numFmtId="2" fontId="6" fillId="0" borderId="2" xfId="0" applyNumberFormat="1" applyFont="1" applyBorder="1" applyAlignment="1">
      <alignment/>
    </xf>
    <xf numFmtId="8" fontId="6" fillId="0" borderId="0" xfId="16" applyFont="1" applyBorder="1" applyAlignment="1">
      <alignment/>
    </xf>
    <xf numFmtId="0" fontId="6" fillId="0" borderId="4" xfId="0" applyFont="1" applyBorder="1" applyAlignment="1">
      <alignment/>
    </xf>
    <xf numFmtId="0" fontId="13" fillId="0" borderId="0" xfId="0" applyFont="1" applyAlignment="1">
      <alignment/>
    </xf>
    <xf numFmtId="172" fontId="6" fillId="0" borderId="2" xfId="0" applyNumberFormat="1" applyFont="1" applyBorder="1" applyAlignment="1">
      <alignment/>
    </xf>
    <xf numFmtId="2" fontId="14" fillId="0" borderId="1" xfId="0" applyNumberFormat="1" applyFont="1" applyBorder="1" applyAlignment="1">
      <alignment horizontal="center"/>
    </xf>
    <xf numFmtId="2" fontId="14" fillId="0" borderId="0" xfId="0" applyNumberFormat="1" applyFont="1" applyAlignment="1">
      <alignment/>
    </xf>
    <xf numFmtId="1" fontId="14" fillId="0" borderId="1" xfId="0" applyNumberFormat="1" applyFont="1" applyBorder="1" applyAlignment="1">
      <alignment horizontal="center"/>
    </xf>
    <xf numFmtId="2" fontId="15" fillId="0" borderId="0" xfId="0" applyNumberFormat="1" applyFont="1" applyAlignment="1">
      <alignment/>
    </xf>
    <xf numFmtId="2" fontId="14" fillId="0" borderId="5" xfId="0" applyNumberFormat="1" applyFont="1" applyBorder="1" applyAlignment="1">
      <alignment horizontal="centerContinuous"/>
    </xf>
    <xf numFmtId="2" fontId="14" fillId="0" borderId="6" xfId="0" applyNumberFormat="1" applyFont="1" applyBorder="1" applyAlignment="1">
      <alignment horizontal="centerContinuous"/>
    </xf>
    <xf numFmtId="2" fontId="14" fillId="0" borderId="4" xfId="0" applyNumberFormat="1" applyFont="1" applyBorder="1" applyAlignment="1">
      <alignment horizontal="center"/>
    </xf>
    <xf numFmtId="0" fontId="16" fillId="0" borderId="0" xfId="0" applyFont="1" applyAlignment="1">
      <alignment/>
    </xf>
    <xf numFmtId="0" fontId="12" fillId="0" borderId="0" xfId="0" applyFont="1" applyAlignment="1">
      <alignment horizontal="center"/>
    </xf>
    <xf numFmtId="0" fontId="0" fillId="0" borderId="0" xfId="0" applyAlignment="1">
      <alignment horizontal="center"/>
    </xf>
    <xf numFmtId="0" fontId="17" fillId="0" borderId="0" xfId="0" applyFont="1" applyAlignment="1">
      <alignment/>
    </xf>
    <xf numFmtId="0" fontId="2" fillId="0" borderId="0" xfId="0" applyFont="1" applyAlignment="1">
      <alignment/>
    </xf>
    <xf numFmtId="0" fontId="8" fillId="0" borderId="1" xfId="0" applyFont="1" applyBorder="1" applyAlignment="1">
      <alignment/>
    </xf>
    <xf numFmtId="10" fontId="8" fillId="0" borderId="0" xfId="0" applyNumberFormat="1" applyFont="1" applyAlignment="1">
      <alignment/>
    </xf>
    <xf numFmtId="3" fontId="6" fillId="0" borderId="1" xfId="0" applyNumberFormat="1" applyFont="1" applyBorder="1" applyAlignment="1">
      <alignment/>
    </xf>
    <xf numFmtId="10" fontId="8" fillId="0" borderId="1" xfId="0" applyNumberFormat="1" applyFont="1" applyBorder="1" applyAlignment="1">
      <alignment/>
    </xf>
    <xf numFmtId="173" fontId="8" fillId="0" borderId="1" xfId="15" applyNumberFormat="1" applyFont="1" applyBorder="1" applyAlignment="1">
      <alignment/>
    </xf>
    <xf numFmtId="172" fontId="6" fillId="0" borderId="7" xfId="0" applyNumberFormat="1" applyFont="1" applyBorder="1" applyAlignment="1">
      <alignment/>
    </xf>
    <xf numFmtId="6" fontId="6" fillId="0" borderId="1" xfId="16" applyNumberFormat="1" applyFont="1" applyBorder="1" applyAlignment="1">
      <alignment/>
    </xf>
    <xf numFmtId="10" fontId="6" fillId="0" borderId="0" xfId="19" applyNumberFormat="1" applyFont="1" applyAlignment="1">
      <alignment/>
    </xf>
    <xf numFmtId="8" fontId="6" fillId="0" borderId="0" xfId="0" applyNumberFormat="1" applyFont="1" applyAlignment="1">
      <alignment/>
    </xf>
    <xf numFmtId="8" fontId="6" fillId="0" borderId="0" xfId="16" applyFont="1" applyAlignment="1">
      <alignment/>
    </xf>
    <xf numFmtId="10" fontId="6" fillId="2" borderId="2" xfId="0" applyNumberFormat="1" applyFont="1" applyFill="1" applyBorder="1" applyAlignment="1">
      <alignment horizontal="center"/>
    </xf>
    <xf numFmtId="8" fontId="6" fillId="2" borderId="1" xfId="16" applyFont="1" applyFill="1" applyBorder="1" applyAlignment="1">
      <alignment/>
    </xf>
    <xf numFmtId="0" fontId="6" fillId="2" borderId="1" xfId="0" applyFont="1" applyFill="1" applyBorder="1" applyAlignment="1">
      <alignment horizontal="center"/>
    </xf>
    <xf numFmtId="44" fontId="6" fillId="2" borderId="1" xfId="0" applyNumberFormat="1" applyFont="1" applyFill="1" applyBorder="1" applyAlignment="1">
      <alignment/>
    </xf>
    <xf numFmtId="44" fontId="6" fillId="2" borderId="4" xfId="0" applyNumberFormat="1" applyFont="1" applyFill="1" applyBorder="1" applyAlignment="1">
      <alignment/>
    </xf>
    <xf numFmtId="8" fontId="6" fillId="2" borderId="4" xfId="16" applyFont="1" applyFill="1" applyBorder="1" applyAlignment="1">
      <alignment/>
    </xf>
    <xf numFmtId="0" fontId="6" fillId="2" borderId="2" xfId="0" applyFont="1" applyFill="1" applyBorder="1" applyAlignment="1">
      <alignment/>
    </xf>
    <xf numFmtId="44" fontId="6" fillId="2" borderId="2" xfId="0" applyNumberFormat="1" applyFont="1" applyFill="1" applyBorder="1" applyAlignment="1">
      <alignment/>
    </xf>
    <xf numFmtId="8" fontId="6" fillId="2" borderId="3" xfId="0" applyNumberFormat="1" applyFont="1" applyFill="1" applyBorder="1" applyAlignment="1">
      <alignment/>
    </xf>
    <xf numFmtId="44" fontId="6" fillId="2" borderId="3" xfId="0" applyNumberFormat="1" applyFont="1" applyFill="1" applyBorder="1" applyAlignment="1">
      <alignment/>
    </xf>
    <xf numFmtId="8" fontId="6" fillId="2" borderId="1" xfId="16" applyFont="1" applyFill="1" applyBorder="1" applyAlignment="1">
      <alignment horizontal="center"/>
    </xf>
    <xf numFmtId="10" fontId="6" fillId="2" borderId="1" xfId="16" applyNumberFormat="1" applyFont="1" applyFill="1" applyBorder="1" applyAlignment="1">
      <alignment horizontal="center"/>
    </xf>
    <xf numFmtId="8" fontId="6" fillId="3" borderId="1" xfId="16" applyFont="1" applyFill="1" applyBorder="1" applyAlignment="1">
      <alignment horizontal="center"/>
    </xf>
    <xf numFmtId="10" fontId="6" fillId="3" borderId="1" xfId="16" applyNumberFormat="1" applyFont="1" applyFill="1" applyBorder="1" applyAlignment="1">
      <alignment horizontal="center"/>
    </xf>
    <xf numFmtId="0" fontId="6" fillId="3" borderId="1" xfId="0" applyFont="1" applyFill="1" applyBorder="1" applyAlignment="1">
      <alignment/>
    </xf>
    <xf numFmtId="0" fontId="6" fillId="3" borderId="1" xfId="0" applyFont="1" applyFill="1" applyBorder="1" applyAlignment="1">
      <alignment horizontal="center"/>
    </xf>
    <xf numFmtId="4" fontId="6" fillId="3" borderId="1" xfId="15" applyFont="1" applyFill="1" applyBorder="1" applyAlignment="1">
      <alignment horizontal="center"/>
    </xf>
    <xf numFmtId="10" fontId="6" fillId="3" borderId="1" xfId="0" applyNumberFormat="1" applyFont="1" applyFill="1" applyBorder="1" applyAlignment="1">
      <alignment horizontal="center"/>
    </xf>
    <xf numFmtId="8" fontId="6" fillId="0" borderId="0" xfId="16" applyFont="1" applyFill="1" applyBorder="1" applyAlignment="1">
      <alignment horizontal="center"/>
    </xf>
    <xf numFmtId="0" fontId="6" fillId="0" borderId="0" xfId="0" applyFont="1" applyFill="1" applyAlignment="1">
      <alignment/>
    </xf>
    <xf numFmtId="9" fontId="6" fillId="3" borderId="1" xfId="0" applyNumberFormat="1" applyFont="1" applyFill="1" applyBorder="1" applyAlignment="1">
      <alignment horizontal="center"/>
    </xf>
    <xf numFmtId="8" fontId="6" fillId="3" borderId="1" xfId="16" applyFont="1" applyFill="1" applyBorder="1" applyAlignment="1">
      <alignment/>
    </xf>
    <xf numFmtId="2" fontId="14" fillId="3" borderId="1" xfId="0" applyNumberFormat="1" applyFont="1" applyFill="1" applyBorder="1" applyAlignment="1">
      <alignment horizontal="center"/>
    </xf>
    <xf numFmtId="44" fontId="6" fillId="3" borderId="1" xfId="16" applyNumberFormat="1" applyFont="1" applyFill="1" applyBorder="1" applyAlignment="1">
      <alignment/>
    </xf>
    <xf numFmtId="2" fontId="6" fillId="3" borderId="1" xfId="0" applyNumberFormat="1" applyFont="1" applyFill="1" applyBorder="1" applyAlignment="1">
      <alignment horizontal="center"/>
    </xf>
    <xf numFmtId="0" fontId="6" fillId="3" borderId="4" xfId="0" applyFont="1" applyFill="1" applyBorder="1" applyAlignment="1">
      <alignment horizontal="center"/>
    </xf>
    <xf numFmtId="10" fontId="6" fillId="2" borderId="1" xfId="0" applyNumberFormat="1" applyFont="1" applyFill="1" applyBorder="1" applyAlignment="1">
      <alignment horizontal="center"/>
    </xf>
    <xf numFmtId="8" fontId="8" fillId="0" borderId="0" xfId="16" applyFont="1" applyFill="1" applyBorder="1" applyAlignment="1">
      <alignment horizontal="center"/>
    </xf>
    <xf numFmtId="8" fontId="9" fillId="0" borderId="0" xfId="16" applyFont="1" applyFill="1" applyBorder="1" applyAlignment="1">
      <alignment horizontal="center"/>
    </xf>
    <xf numFmtId="8" fontId="6" fillId="2" borderId="1" xfId="0" applyNumberFormat="1" applyFont="1" applyFill="1" applyBorder="1" applyAlignment="1">
      <alignment/>
    </xf>
    <xf numFmtId="8" fontId="6" fillId="2" borderId="1" xfId="0" applyNumberFormat="1" applyFont="1" applyFill="1" applyBorder="1" applyAlignment="1">
      <alignment horizontal="center"/>
    </xf>
    <xf numFmtId="0" fontId="6" fillId="0" borderId="0" xfId="0" applyFont="1" applyFill="1" applyBorder="1" applyAlignment="1">
      <alignment horizontal="center"/>
    </xf>
    <xf numFmtId="10" fontId="6" fillId="2" borderId="1" xfId="19" applyNumberFormat="1" applyFont="1" applyFill="1" applyBorder="1" applyAlignment="1">
      <alignment horizontal="center"/>
    </xf>
    <xf numFmtId="0" fontId="6" fillId="2" borderId="1" xfId="0" applyNumberFormat="1" applyFont="1" applyFill="1" applyBorder="1" applyAlignment="1">
      <alignment horizontal="center"/>
    </xf>
    <xf numFmtId="10" fontId="6" fillId="3" borderId="1" xfId="19" applyNumberFormat="1" applyFont="1" applyFill="1" applyBorder="1" applyAlignment="1">
      <alignment horizontal="center"/>
    </xf>
    <xf numFmtId="10" fontId="6" fillId="3" borderId="1" xfId="19" applyNumberFormat="1" applyFont="1" applyFill="1" applyBorder="1" applyAlignment="1">
      <alignment/>
    </xf>
    <xf numFmtId="4" fontId="6" fillId="2" borderId="1" xfId="15" applyFont="1" applyFill="1" applyBorder="1" applyAlignment="1">
      <alignment horizontal="center"/>
    </xf>
    <xf numFmtId="2" fontId="6" fillId="2" borderId="1" xfId="0" applyNumberFormat="1" applyFont="1" applyFill="1" applyBorder="1" applyAlignment="1">
      <alignment horizontal="center"/>
    </xf>
    <xf numFmtId="0" fontId="18" fillId="0" borderId="0" xfId="0" applyFont="1" applyAlignment="1">
      <alignment/>
    </xf>
    <xf numFmtId="0" fontId="9" fillId="2" borderId="1" xfId="0" applyFont="1" applyFill="1" applyBorder="1" applyAlignment="1">
      <alignment horizontal="center"/>
    </xf>
    <xf numFmtId="0" fontId="6" fillId="2" borderId="1" xfId="0" applyFont="1" applyFill="1" applyBorder="1" applyAlignment="1">
      <alignment/>
    </xf>
    <xf numFmtId="8" fontId="8" fillId="2" borderId="1" xfId="16" applyFont="1" applyFill="1" applyBorder="1" applyAlignment="1">
      <alignment horizontal="center"/>
    </xf>
    <xf numFmtId="0" fontId="6" fillId="2" borderId="1" xfId="0" applyFont="1" applyFill="1" applyBorder="1" applyAlignment="1">
      <alignment horizontal="left"/>
    </xf>
    <xf numFmtId="8" fontId="19" fillId="0" borderId="1" xfId="16" applyFont="1" applyBorder="1" applyAlignment="1">
      <alignment horizontal="center"/>
    </xf>
    <xf numFmtId="8" fontId="19" fillId="0" borderId="8" xfId="16" applyFont="1" applyBorder="1" applyAlignment="1">
      <alignment horizontal="center"/>
    </xf>
    <xf numFmtId="10" fontId="6" fillId="2" borderId="8" xfId="0" applyNumberFormat="1" applyFont="1" applyFill="1" applyBorder="1" applyAlignment="1">
      <alignment horizontal="center"/>
    </xf>
    <xf numFmtId="10" fontId="6" fillId="2" borderId="1" xfId="19" applyNumberFormat="1" applyFont="1" applyFill="1" applyBorder="1" applyAlignment="1">
      <alignment/>
    </xf>
    <xf numFmtId="10" fontId="6" fillId="2" borderId="1" xfId="0" applyNumberFormat="1" applyFont="1" applyFill="1" applyBorder="1" applyAlignment="1">
      <alignment/>
    </xf>
    <xf numFmtId="2" fontId="6" fillId="2" borderId="1" xfId="0" applyNumberFormat="1" applyFont="1" applyFill="1" applyBorder="1" applyAlignment="1">
      <alignment/>
    </xf>
    <xf numFmtId="4" fontId="6" fillId="2" borderId="1" xfId="0" applyNumberFormat="1" applyFont="1" applyFill="1" applyBorder="1" applyAlignment="1">
      <alignment/>
    </xf>
    <xf numFmtId="10" fontId="6" fillId="0" borderId="0" xfId="0" applyNumberFormat="1" applyFont="1" applyFill="1" applyBorder="1" applyAlignment="1">
      <alignment horizontal="center"/>
    </xf>
    <xf numFmtId="0" fontId="21" fillId="0" borderId="0" xfId="0" applyFont="1" applyAlignment="1">
      <alignment/>
    </xf>
    <xf numFmtId="8" fontId="6" fillId="0" borderId="2" xfId="16" applyFont="1" applyBorder="1" applyAlignment="1">
      <alignment/>
    </xf>
    <xf numFmtId="0" fontId="22" fillId="0" borderId="0" xfId="0" applyFont="1" applyAlignment="1">
      <alignment/>
    </xf>
    <xf numFmtId="8" fontId="14" fillId="0" borderId="1" xfId="16" applyFont="1" applyBorder="1" applyAlignment="1">
      <alignment/>
    </xf>
    <xf numFmtId="8" fontId="14" fillId="0" borderId="4" xfId="16" applyFont="1" applyBorder="1" applyAlignment="1">
      <alignment/>
    </xf>
    <xf numFmtId="9" fontId="6" fillId="3" borderId="1" xfId="19" applyFont="1" applyFill="1" applyBorder="1" applyAlignment="1">
      <alignment horizontal="center"/>
    </xf>
    <xf numFmtId="170" fontId="6" fillId="2" borderId="1" xfId="19" applyNumberFormat="1" applyFont="1" applyFill="1" applyBorder="1" applyAlignment="1">
      <alignment horizontal="center"/>
    </xf>
    <xf numFmtId="6" fontId="6" fillId="2" borderId="1" xfId="16" applyNumberFormat="1" applyFont="1" applyFill="1" applyBorder="1" applyAlignment="1">
      <alignment horizontal="center"/>
    </xf>
    <xf numFmtId="6" fontId="6" fillId="2" borderId="1" xfId="0" applyNumberFormat="1" applyFont="1" applyFill="1" applyBorder="1" applyAlignment="1">
      <alignment horizontal="center"/>
    </xf>
    <xf numFmtId="6" fontId="8" fillId="2" borderId="1" xfId="16" applyNumberFormat="1" applyFont="1" applyFill="1" applyBorder="1" applyAlignment="1">
      <alignment horizontal="center"/>
    </xf>
    <xf numFmtId="0" fontId="6" fillId="3" borderId="0" xfId="0" applyFont="1" applyFill="1" applyBorder="1" applyAlignment="1">
      <alignment horizontal="center"/>
    </xf>
    <xf numFmtId="0" fontId="27" fillId="0" borderId="0" xfId="0" applyFont="1" applyAlignment="1">
      <alignment/>
    </xf>
    <xf numFmtId="0" fontId="27" fillId="0" borderId="0" xfId="0" applyFont="1" applyAlignment="1">
      <alignment horizontal="center"/>
    </xf>
    <xf numFmtId="2" fontId="27" fillId="0" borderId="0" xfId="0" applyNumberFormat="1" applyFont="1" applyAlignment="1">
      <alignment/>
    </xf>
    <xf numFmtId="0" fontId="11" fillId="0" borderId="0" xfId="0" applyFont="1" applyAlignment="1">
      <alignment/>
    </xf>
    <xf numFmtId="0" fontId="11" fillId="0" borderId="0" xfId="0" applyFont="1" applyAlignment="1">
      <alignment horizontal="center"/>
    </xf>
    <xf numFmtId="2" fontId="11" fillId="0" borderId="0" xfId="0" applyNumberFormat="1" applyFont="1" applyAlignment="1">
      <alignment horizontal="center"/>
    </xf>
    <xf numFmtId="10" fontId="11" fillId="0" borderId="0" xfId="0" applyNumberFormat="1" applyFont="1" applyAlignment="1">
      <alignment horizontal="center"/>
    </xf>
    <xf numFmtId="0" fontId="23" fillId="0" borderId="0" xfId="0" applyFont="1" applyAlignment="1">
      <alignment horizontal="center"/>
    </xf>
    <xf numFmtId="0" fontId="12" fillId="0" borderId="0" xfId="0" applyFont="1" applyAlignment="1">
      <alignment horizontal="center"/>
    </xf>
    <xf numFmtId="0" fontId="20" fillId="0" borderId="0" xfId="0" applyFont="1" applyAlignment="1">
      <alignment horizontal="center"/>
    </xf>
    <xf numFmtId="2" fontId="0" fillId="0" borderId="0" xfId="0" applyNumberFormat="1" applyAlignment="1">
      <alignment horizontal="center"/>
    </xf>
    <xf numFmtId="10" fontId="0" fillId="0" borderId="0" xfId="0" applyNumberFormat="1" applyAlignment="1">
      <alignment horizontal="center"/>
    </xf>
  </cellXfs>
  <cellStyles count="6">
    <cellStyle name="Normal" xfId="0"/>
    <cellStyle name="Comma" xfId="15"/>
    <cellStyle name="Currency" xfId="16"/>
    <cellStyle name="Followed Hyperlink" xfId="17"/>
    <cellStyle name="Hyperlink" xfId="18"/>
    <cellStyle name="Percent" xfId="19"/>
  </cellStyles>
  <dxfs count="1">
    <dxf>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ll%20My%20Stuff\Datasets\datasetsJan2004\indavgJan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FBasics"/>
      <sheetName val="Cash"/>
      <sheetName val="Acc Receivable"/>
      <sheetName val="Inventory"/>
      <sheetName val="Summary for valn spreadsheets"/>
      <sheetName val="Regression Stats"/>
      <sheetName val="Master"/>
      <sheetName val="Mgn &amp; ROC"/>
      <sheetName val="Betas"/>
      <sheetName val="Cap Ex"/>
      <sheetName val="Debt Fundas"/>
      <sheetName val="OIFCFF"/>
      <sheetName val="DivFCFE"/>
      <sheetName val="Div Fundas"/>
      <sheetName val="EVA"/>
      <sheetName val="FundGr"/>
      <sheetName val="FundGREB"/>
      <sheetName val="Hist growth"/>
      <sheetName val="Ins &amp; Inst"/>
      <sheetName val="margins"/>
      <sheetName val="var &amp; stdev"/>
      <sheetName val="pbv"/>
      <sheetName val="pe"/>
      <sheetName val="ps"/>
      <sheetName val="roe"/>
      <sheetName val="Tax Rates"/>
      <sheetName val="totalbeta"/>
      <sheetName val="vebitda"/>
      <sheetName val="wacc"/>
      <sheetName val="Accpay"/>
      <sheetName val="wc data"/>
    </sheetNames>
    <sheetDataSet>
      <sheetData sheetId="6">
        <row r="1">
          <cell r="A1" t="str">
            <v>Industry</v>
          </cell>
        </row>
        <row r="2">
          <cell r="A2" t="str">
            <v>Advertising</v>
          </cell>
          <cell r="B2">
            <v>34</v>
          </cell>
        </row>
        <row r="3">
          <cell r="A3" t="str">
            <v>Aerospace/Defense</v>
          </cell>
          <cell r="B3">
            <v>72</v>
          </cell>
        </row>
        <row r="4">
          <cell r="A4" t="str">
            <v>Air Transport</v>
          </cell>
          <cell r="B4">
            <v>43</v>
          </cell>
        </row>
        <row r="5">
          <cell r="A5" t="str">
            <v>Apparel</v>
          </cell>
          <cell r="B5">
            <v>59</v>
          </cell>
        </row>
        <row r="6">
          <cell r="A6" t="str">
            <v>Auto &amp; Truck</v>
          </cell>
          <cell r="B6">
            <v>21</v>
          </cell>
        </row>
        <row r="7">
          <cell r="A7" t="str">
            <v>Auto Parts</v>
          </cell>
          <cell r="B7">
            <v>62</v>
          </cell>
        </row>
        <row r="8">
          <cell r="A8" t="str">
            <v>Bank</v>
          </cell>
          <cell r="B8">
            <v>504</v>
          </cell>
        </row>
        <row r="9">
          <cell r="A9" t="str">
            <v>Bank (Canadian)</v>
          </cell>
          <cell r="B9">
            <v>7</v>
          </cell>
        </row>
        <row r="10">
          <cell r="A10" t="str">
            <v>Bank (Foreign)</v>
          </cell>
          <cell r="B10">
            <v>4</v>
          </cell>
        </row>
        <row r="11">
          <cell r="A11" t="str">
            <v>Bank (Midwest)</v>
          </cell>
          <cell r="B11">
            <v>43</v>
          </cell>
        </row>
        <row r="12">
          <cell r="A12" t="str">
            <v>Beverage (Alcoholic)</v>
          </cell>
          <cell r="B12">
            <v>24</v>
          </cell>
        </row>
        <row r="13">
          <cell r="A13" t="str">
            <v>Beverage (Soft Drink)</v>
          </cell>
          <cell r="B13">
            <v>17</v>
          </cell>
        </row>
        <row r="14">
          <cell r="A14" t="str">
            <v>Biotechnology</v>
          </cell>
          <cell r="B14">
            <v>84</v>
          </cell>
        </row>
        <row r="15">
          <cell r="A15" t="str">
            <v>Building Materials</v>
          </cell>
          <cell r="B15">
            <v>48</v>
          </cell>
        </row>
        <row r="16">
          <cell r="A16" t="str">
            <v>Cable TV</v>
          </cell>
          <cell r="B16">
            <v>24</v>
          </cell>
        </row>
        <row r="17">
          <cell r="A17" t="str">
            <v>Canadian Energy</v>
          </cell>
          <cell r="B17">
            <v>10</v>
          </cell>
        </row>
        <row r="18">
          <cell r="A18" t="str">
            <v>Cement &amp; Aggregates</v>
          </cell>
          <cell r="B18">
            <v>14</v>
          </cell>
        </row>
        <row r="19">
          <cell r="A19" t="str">
            <v>Chemical (Basic)</v>
          </cell>
          <cell r="B19">
            <v>16</v>
          </cell>
        </row>
        <row r="20">
          <cell r="A20" t="str">
            <v>Chemical (Diversified)</v>
          </cell>
          <cell r="B20">
            <v>33</v>
          </cell>
        </row>
        <row r="21">
          <cell r="A21" t="str">
            <v>Chemical (Specialty)</v>
          </cell>
          <cell r="B21">
            <v>95</v>
          </cell>
        </row>
        <row r="22">
          <cell r="A22" t="str">
            <v>Coal</v>
          </cell>
          <cell r="B22">
            <v>8</v>
          </cell>
        </row>
        <row r="23">
          <cell r="A23" t="str">
            <v>Computer Software/Svcs</v>
          </cell>
          <cell r="B23">
            <v>387</v>
          </cell>
        </row>
        <row r="24">
          <cell r="A24" t="str">
            <v>Computers/Peripherals</v>
          </cell>
          <cell r="B24">
            <v>148</v>
          </cell>
        </row>
        <row r="25">
          <cell r="A25" t="str">
            <v>Diversified Co.</v>
          </cell>
          <cell r="B25">
            <v>102</v>
          </cell>
        </row>
        <row r="26">
          <cell r="A26" t="str">
            <v>Drug</v>
          </cell>
          <cell r="B26">
            <v>276</v>
          </cell>
        </row>
        <row r="27">
          <cell r="A27" t="str">
            <v>E-Commerce</v>
          </cell>
          <cell r="B27">
            <v>41</v>
          </cell>
        </row>
        <row r="28">
          <cell r="A28" t="str">
            <v>Educational Services</v>
          </cell>
          <cell r="B28">
            <v>34</v>
          </cell>
        </row>
        <row r="29">
          <cell r="A29" t="str">
            <v>Electric Util. (Central)</v>
          </cell>
          <cell r="B29">
            <v>27</v>
          </cell>
        </row>
        <row r="30">
          <cell r="A30" t="str">
            <v>Electric Utility (East)</v>
          </cell>
          <cell r="B30">
            <v>29</v>
          </cell>
        </row>
        <row r="31">
          <cell r="A31" t="str">
            <v>Electric Utility (West)</v>
          </cell>
          <cell r="B31">
            <v>15</v>
          </cell>
        </row>
        <row r="32">
          <cell r="A32" t="str">
            <v>Electrical Equipment</v>
          </cell>
          <cell r="B32">
            <v>86</v>
          </cell>
        </row>
        <row r="33">
          <cell r="A33" t="str">
            <v>Electronics</v>
          </cell>
          <cell r="B33">
            <v>181</v>
          </cell>
        </row>
        <row r="34">
          <cell r="A34" t="str">
            <v>Entertainment</v>
          </cell>
          <cell r="B34">
            <v>84</v>
          </cell>
        </row>
        <row r="35">
          <cell r="A35" t="str">
            <v>Entertainment Tech</v>
          </cell>
          <cell r="B35">
            <v>32</v>
          </cell>
        </row>
        <row r="36">
          <cell r="A36" t="str">
            <v>Environmental</v>
          </cell>
          <cell r="B36">
            <v>77</v>
          </cell>
        </row>
        <row r="37">
          <cell r="A37" t="str">
            <v>Financial Svcs. (Div.)</v>
          </cell>
          <cell r="B37">
            <v>231</v>
          </cell>
        </row>
        <row r="38">
          <cell r="A38" t="str">
            <v>Food Processing</v>
          </cell>
          <cell r="B38">
            <v>104</v>
          </cell>
        </row>
        <row r="39">
          <cell r="A39" t="str">
            <v>Food Wholesalers</v>
          </cell>
          <cell r="B39">
            <v>22</v>
          </cell>
        </row>
        <row r="40">
          <cell r="A40" t="str">
            <v>Foreign Electronics</v>
          </cell>
          <cell r="B40">
            <v>13</v>
          </cell>
        </row>
        <row r="41">
          <cell r="A41" t="str">
            <v>Foreign Telecom.</v>
          </cell>
          <cell r="B41">
            <v>19</v>
          </cell>
        </row>
        <row r="42">
          <cell r="A42" t="str">
            <v>Furn/Home Furnishings</v>
          </cell>
          <cell r="B42">
            <v>36</v>
          </cell>
        </row>
        <row r="43">
          <cell r="A43" t="str">
            <v>Grocery</v>
          </cell>
          <cell r="B43">
            <v>25</v>
          </cell>
        </row>
        <row r="44">
          <cell r="A44" t="str">
            <v>Healthcare Information</v>
          </cell>
          <cell r="B44">
            <v>35</v>
          </cell>
        </row>
        <row r="45">
          <cell r="A45" t="str">
            <v>Home Appliance</v>
          </cell>
          <cell r="B45">
            <v>15</v>
          </cell>
        </row>
        <row r="46">
          <cell r="A46" t="str">
            <v>Homebuilding</v>
          </cell>
          <cell r="B46">
            <v>44</v>
          </cell>
        </row>
        <row r="47">
          <cell r="A47" t="str">
            <v>Hotel/Gaming</v>
          </cell>
          <cell r="B47">
            <v>80</v>
          </cell>
        </row>
        <row r="48">
          <cell r="A48" t="str">
            <v>Household Products</v>
          </cell>
          <cell r="B48">
            <v>32</v>
          </cell>
        </row>
        <row r="49">
          <cell r="A49" t="str">
            <v>Human Resources</v>
          </cell>
          <cell r="B49">
            <v>27</v>
          </cell>
        </row>
        <row r="50">
          <cell r="A50" t="str">
            <v>Industrial Services</v>
          </cell>
          <cell r="B50">
            <v>190</v>
          </cell>
        </row>
        <row r="51">
          <cell r="A51" t="str">
            <v>Information Services</v>
          </cell>
          <cell r="B51">
            <v>29</v>
          </cell>
        </row>
        <row r="52">
          <cell r="A52" t="str">
            <v>Insurance (Life)</v>
          </cell>
          <cell r="B52">
            <v>45</v>
          </cell>
        </row>
        <row r="53">
          <cell r="A53" t="str">
            <v>Insurance (Prop/Cas.)</v>
          </cell>
          <cell r="B53">
            <v>69</v>
          </cell>
        </row>
        <row r="54">
          <cell r="A54" t="str">
            <v>Internet</v>
          </cell>
          <cell r="B54">
            <v>289</v>
          </cell>
        </row>
        <row r="55">
          <cell r="A55" t="str">
            <v>Investment Co.</v>
          </cell>
          <cell r="B55">
            <v>22</v>
          </cell>
        </row>
        <row r="56">
          <cell r="A56" t="str">
            <v>Investment Co.(Foreign)</v>
          </cell>
          <cell r="B56">
            <v>17</v>
          </cell>
        </row>
        <row r="57">
          <cell r="A57" t="str">
            <v>Machinery</v>
          </cell>
          <cell r="B57">
            <v>138</v>
          </cell>
        </row>
        <row r="58">
          <cell r="A58" t="str">
            <v>Manuf. Housing/RV</v>
          </cell>
          <cell r="B58">
            <v>18</v>
          </cell>
        </row>
        <row r="59">
          <cell r="A59" t="str">
            <v>Maritime</v>
          </cell>
          <cell r="B59">
            <v>23</v>
          </cell>
        </row>
        <row r="60">
          <cell r="A60" t="str">
            <v>Medical Services</v>
          </cell>
          <cell r="B60">
            <v>197</v>
          </cell>
        </row>
        <row r="61">
          <cell r="A61" t="str">
            <v>Medical Supplies</v>
          </cell>
          <cell r="B61">
            <v>236</v>
          </cell>
        </row>
        <row r="62">
          <cell r="A62" t="str">
            <v>Metal Fabricating</v>
          </cell>
          <cell r="B62">
            <v>37</v>
          </cell>
        </row>
        <row r="63">
          <cell r="A63" t="str">
            <v>Metals &amp; Mining (Div.)</v>
          </cell>
          <cell r="B63">
            <v>54</v>
          </cell>
        </row>
        <row r="64">
          <cell r="A64" t="str">
            <v>Natural Gas (Distrib.)</v>
          </cell>
          <cell r="B64">
            <v>31</v>
          </cell>
        </row>
        <row r="65">
          <cell r="A65" t="str">
            <v>Natural Gas (Div.)</v>
          </cell>
          <cell r="B65">
            <v>39</v>
          </cell>
        </row>
        <row r="66">
          <cell r="A66" t="str">
            <v>Newspaper</v>
          </cell>
          <cell r="B66">
            <v>20</v>
          </cell>
        </row>
        <row r="67">
          <cell r="A67" t="str">
            <v>Office Equip/Supplies</v>
          </cell>
          <cell r="B67">
            <v>31</v>
          </cell>
        </row>
        <row r="68">
          <cell r="A68" t="str">
            <v>Oilfield Svcs/Equip.</v>
          </cell>
          <cell r="B68">
            <v>88</v>
          </cell>
        </row>
        <row r="69">
          <cell r="A69" t="str">
            <v>Packaging &amp; Container</v>
          </cell>
          <cell r="B69">
            <v>34</v>
          </cell>
        </row>
        <row r="70">
          <cell r="A70" t="str">
            <v>Paper/Forest Products</v>
          </cell>
          <cell r="B70">
            <v>40</v>
          </cell>
        </row>
        <row r="71">
          <cell r="A71" t="str">
            <v>Petroleum (Integrated)</v>
          </cell>
          <cell r="B71">
            <v>34</v>
          </cell>
        </row>
        <row r="72">
          <cell r="A72" t="str">
            <v>Petroleum (Producing)</v>
          </cell>
          <cell r="B72">
            <v>128</v>
          </cell>
        </row>
        <row r="73">
          <cell r="A73" t="str">
            <v>Pharmacy Services</v>
          </cell>
          <cell r="B73">
            <v>15</v>
          </cell>
        </row>
        <row r="74">
          <cell r="A74" t="str">
            <v>Power</v>
          </cell>
          <cell r="B74">
            <v>19</v>
          </cell>
        </row>
        <row r="75">
          <cell r="A75" t="str">
            <v>Precious Metals</v>
          </cell>
          <cell r="B75">
            <v>48</v>
          </cell>
        </row>
        <row r="76">
          <cell r="A76" t="str">
            <v>Precision Instrument</v>
          </cell>
          <cell r="B76">
            <v>102</v>
          </cell>
        </row>
        <row r="77">
          <cell r="A77" t="str">
            <v>Publishing</v>
          </cell>
          <cell r="B77">
            <v>40</v>
          </cell>
        </row>
        <row r="78">
          <cell r="A78" t="str">
            <v>R.E.I.T.</v>
          </cell>
          <cell r="B78">
            <v>144</v>
          </cell>
        </row>
        <row r="79">
          <cell r="A79" t="str">
            <v>Railroad</v>
          </cell>
          <cell r="B79">
            <v>16</v>
          </cell>
        </row>
        <row r="80">
          <cell r="A80" t="str">
            <v>Recreation</v>
          </cell>
          <cell r="B80">
            <v>73</v>
          </cell>
        </row>
        <row r="81">
          <cell r="A81" t="str">
            <v>Restaurant</v>
          </cell>
          <cell r="B81">
            <v>85</v>
          </cell>
        </row>
        <row r="82">
          <cell r="A82" t="str">
            <v>Retail (Special Lines)</v>
          </cell>
          <cell r="B82">
            <v>196</v>
          </cell>
        </row>
        <row r="83">
          <cell r="A83" t="str">
            <v>Retail Building Supply</v>
          </cell>
          <cell r="B83">
            <v>8</v>
          </cell>
        </row>
        <row r="84">
          <cell r="A84" t="str">
            <v>Retail Store</v>
          </cell>
          <cell r="B84">
            <v>43</v>
          </cell>
        </row>
        <row r="85">
          <cell r="A85" t="str">
            <v>Securities Brokerage</v>
          </cell>
          <cell r="B85">
            <v>27</v>
          </cell>
        </row>
        <row r="86">
          <cell r="A86" t="str">
            <v>Semiconductor</v>
          </cell>
          <cell r="B86">
            <v>113</v>
          </cell>
        </row>
        <row r="87">
          <cell r="A87" t="str">
            <v>Semiconductor Equip</v>
          </cell>
          <cell r="B87">
            <v>15</v>
          </cell>
        </row>
        <row r="88">
          <cell r="A88" t="str">
            <v>Shoe</v>
          </cell>
          <cell r="B88">
            <v>24</v>
          </cell>
        </row>
        <row r="89">
          <cell r="A89" t="str">
            <v>Steel (General)</v>
          </cell>
          <cell r="B89">
            <v>27</v>
          </cell>
        </row>
        <row r="90">
          <cell r="A90" t="str">
            <v>Steel (Integrated)</v>
          </cell>
          <cell r="B90">
            <v>14</v>
          </cell>
        </row>
        <row r="91">
          <cell r="A91" t="str">
            <v>Telecom. Equipment</v>
          </cell>
          <cell r="B91">
            <v>124</v>
          </cell>
        </row>
        <row r="92">
          <cell r="A92" t="str">
            <v>Telecom. Services</v>
          </cell>
          <cell r="B92">
            <v>137</v>
          </cell>
        </row>
        <row r="93">
          <cell r="A93" t="str">
            <v>Textile</v>
          </cell>
          <cell r="B93">
            <v>18</v>
          </cell>
        </row>
        <row r="94">
          <cell r="A94" t="str">
            <v>Thrift</v>
          </cell>
          <cell r="B94">
            <v>242</v>
          </cell>
        </row>
        <row r="95">
          <cell r="A95" t="str">
            <v>Tire &amp; Rubber</v>
          </cell>
          <cell r="B95">
            <v>12</v>
          </cell>
        </row>
        <row r="96">
          <cell r="A96" t="str">
            <v>Tobacco</v>
          </cell>
          <cell r="B96">
            <v>11</v>
          </cell>
        </row>
        <row r="97">
          <cell r="A97" t="str">
            <v>Toiletries/Cosmetics</v>
          </cell>
          <cell r="B97">
            <v>21</v>
          </cell>
        </row>
        <row r="98">
          <cell r="A98" t="str">
            <v>Trucking</v>
          </cell>
          <cell r="B98">
            <v>39</v>
          </cell>
        </row>
        <row r="99">
          <cell r="A99" t="str">
            <v>Utility (Foreign)</v>
          </cell>
          <cell r="B99">
            <v>6</v>
          </cell>
        </row>
        <row r="100">
          <cell r="A100" t="str">
            <v>Water Utility</v>
          </cell>
          <cell r="B100">
            <v>16</v>
          </cell>
        </row>
        <row r="101">
          <cell r="A101" t="str">
            <v>Wireless Networking</v>
          </cell>
          <cell r="B101">
            <v>63</v>
          </cell>
        </row>
        <row r="102">
          <cell r="B102">
            <v>6958</v>
          </cell>
        </row>
      </sheetData>
      <sheetData sheetId="7">
        <row r="2">
          <cell r="D2">
            <v>0.905560211394072</v>
          </cell>
        </row>
        <row r="3">
          <cell r="D3">
            <v>1.5286692591699762</v>
          </cell>
        </row>
        <row r="4">
          <cell r="D4">
            <v>1.6434847406554285</v>
          </cell>
        </row>
        <row r="5">
          <cell r="D5">
            <v>1.721681683482502</v>
          </cell>
        </row>
        <row r="6">
          <cell r="D6">
            <v>1.1187895065729254</v>
          </cell>
        </row>
        <row r="7">
          <cell r="D7">
            <v>2.717805658294454</v>
          </cell>
        </row>
        <row r="8">
          <cell r="D8" t="str">
            <v>NA</v>
          </cell>
        </row>
        <row r="9">
          <cell r="D9" t="str">
            <v>NA</v>
          </cell>
        </row>
        <row r="10">
          <cell r="D10" t="str">
            <v>NA</v>
          </cell>
        </row>
        <row r="11">
          <cell r="D11" t="str">
            <v>NA</v>
          </cell>
        </row>
        <row r="12">
          <cell r="D12">
            <v>1.2552981036481388</v>
          </cell>
        </row>
        <row r="13">
          <cell r="D13">
            <v>1.275781497326514</v>
          </cell>
        </row>
        <row r="14">
          <cell r="D14">
            <v>0.3585530112561412</v>
          </cell>
        </row>
        <row r="15">
          <cell r="D15">
            <v>2.353991182625302</v>
          </cell>
        </row>
        <row r="16">
          <cell r="D16">
            <v>0.3368279755820775</v>
          </cell>
        </row>
        <row r="17">
          <cell r="D17">
            <v>0.781616404518763</v>
          </cell>
        </row>
        <row r="18">
          <cell r="D18">
            <v>1.038291953178311</v>
          </cell>
        </row>
        <row r="19">
          <cell r="D19">
            <v>1.3171173715981606</v>
          </cell>
        </row>
        <row r="20">
          <cell r="D20">
            <v>1.39786150192784</v>
          </cell>
        </row>
        <row r="21">
          <cell r="D21">
            <v>1.5041451550219829</v>
          </cell>
        </row>
        <row r="22">
          <cell r="D22">
            <v>1.3816642994157524</v>
          </cell>
        </row>
        <row r="23">
          <cell r="D23">
            <v>1.0436367314094712</v>
          </cell>
        </row>
        <row r="24">
          <cell r="D24">
            <v>2.036230728743832</v>
          </cell>
        </row>
        <row r="25">
          <cell r="D25">
            <v>1.4986727968405575</v>
          </cell>
        </row>
        <row r="26">
          <cell r="D26">
            <v>1.036953848132895</v>
          </cell>
        </row>
        <row r="27">
          <cell r="D27">
            <v>0.8771648109564317</v>
          </cell>
        </row>
        <row r="28">
          <cell r="D28">
            <v>1.4647395722853231</v>
          </cell>
        </row>
        <row r="29">
          <cell r="D29">
            <v>0.6599831432151441</v>
          </cell>
        </row>
        <row r="30">
          <cell r="D30">
            <v>0.5306205294883984</v>
          </cell>
        </row>
        <row r="31">
          <cell r="D31">
            <v>0.6478620686478195</v>
          </cell>
        </row>
        <row r="32">
          <cell r="D32">
            <v>1.0858067549029993</v>
          </cell>
        </row>
        <row r="33">
          <cell r="D33">
            <v>1.722540716244419</v>
          </cell>
        </row>
        <row r="34">
          <cell r="D34">
            <v>0.45378821753511367</v>
          </cell>
        </row>
        <row r="35">
          <cell r="D35">
            <v>1.3152268554943614</v>
          </cell>
        </row>
        <row r="36">
          <cell r="D36">
            <v>0.7875121987147619</v>
          </cell>
        </row>
        <row r="37">
          <cell r="D37">
            <v>0.08850949594234869</v>
          </cell>
        </row>
        <row r="38">
          <cell r="D38">
            <v>1.4955522179955316</v>
          </cell>
        </row>
        <row r="39">
          <cell r="D39">
            <v>3.913173241351087</v>
          </cell>
        </row>
        <row r="40">
          <cell r="D40">
            <v>1.6988156378904804</v>
          </cell>
        </row>
        <row r="41">
          <cell r="D41">
            <v>0.47587287309209103</v>
          </cell>
        </row>
        <row r="42">
          <cell r="D42">
            <v>1.9459847330330968</v>
          </cell>
        </row>
        <row r="43">
          <cell r="D43">
            <v>3.240308454156863</v>
          </cell>
        </row>
        <row r="44">
          <cell r="D44">
            <v>0.9095192721861826</v>
          </cell>
        </row>
        <row r="45">
          <cell r="D45">
            <v>2.812553258285868</v>
          </cell>
        </row>
        <row r="46">
          <cell r="D46">
            <v>1.1285302689927594</v>
          </cell>
        </row>
        <row r="47">
          <cell r="D47">
            <v>0.6110094910550374</v>
          </cell>
        </row>
        <row r="48">
          <cell r="D48">
            <v>1.6619823492989907</v>
          </cell>
        </row>
        <row r="49">
          <cell r="D49">
            <v>4.098548543636383</v>
          </cell>
        </row>
        <row r="50">
          <cell r="D50">
            <v>1.9896079655320353</v>
          </cell>
        </row>
        <row r="51">
          <cell r="D51">
            <v>0.8503613426333947</v>
          </cell>
        </row>
        <row r="52">
          <cell r="D52" t="str">
            <v>NA</v>
          </cell>
        </row>
        <row r="53">
          <cell r="D53" t="str">
            <v>NA</v>
          </cell>
        </row>
        <row r="54">
          <cell r="D54">
            <v>0.8965342612923178</v>
          </cell>
        </row>
        <row r="55">
          <cell r="D55" t="str">
            <v>NA</v>
          </cell>
        </row>
        <row r="56">
          <cell r="D56" t="str">
            <v>NA</v>
          </cell>
        </row>
        <row r="57">
          <cell r="D57">
            <v>1.330639191482937</v>
          </cell>
        </row>
        <row r="58">
          <cell r="D58">
            <v>3.533627737661873</v>
          </cell>
        </row>
        <row r="59">
          <cell r="D59">
            <v>0.6176586141363936</v>
          </cell>
        </row>
        <row r="60">
          <cell r="D60">
            <v>2.032543513298093</v>
          </cell>
        </row>
        <row r="61">
          <cell r="D61">
            <v>1.9817096252069544</v>
          </cell>
        </row>
        <row r="62">
          <cell r="D62">
            <v>1.447983497899319</v>
          </cell>
        </row>
        <row r="63">
          <cell r="D63">
            <v>0.8785590263144587</v>
          </cell>
        </row>
        <row r="64">
          <cell r="D64">
            <v>0.7653886925795054</v>
          </cell>
        </row>
        <row r="65">
          <cell r="D65">
            <v>0.49007951728213256</v>
          </cell>
        </row>
        <row r="66">
          <cell r="D66">
            <v>0.7495976003489034</v>
          </cell>
        </row>
        <row r="67">
          <cell r="D67">
            <v>1.7388545802087927</v>
          </cell>
        </row>
        <row r="68">
          <cell r="D68">
            <v>1.0721802131187108</v>
          </cell>
        </row>
        <row r="69">
          <cell r="D69">
            <v>1.2717748787924228</v>
          </cell>
        </row>
        <row r="70">
          <cell r="D70">
            <v>1.0597831061231333</v>
          </cell>
        </row>
        <row r="71">
          <cell r="D71">
            <v>1.8386680741288575</v>
          </cell>
        </row>
        <row r="72">
          <cell r="D72">
            <v>0.5000211555848517</v>
          </cell>
        </row>
        <row r="73">
          <cell r="D73">
            <v>4.533016773031739</v>
          </cell>
        </row>
        <row r="74">
          <cell r="D74">
            <v>0.4877384759085658</v>
          </cell>
        </row>
        <row r="75">
          <cell r="D75">
            <v>0.46811640339418426</v>
          </cell>
        </row>
        <row r="76">
          <cell r="D76">
            <v>1.1557810120549157</v>
          </cell>
        </row>
        <row r="77">
          <cell r="D77">
            <v>1.9522056119672286</v>
          </cell>
        </row>
        <row r="78">
          <cell r="D78">
            <v>0.12718371420704846</v>
          </cell>
        </row>
        <row r="79">
          <cell r="D79">
            <v>0.5349178563402605</v>
          </cell>
        </row>
        <row r="80">
          <cell r="D80">
            <v>0.9013939450444376</v>
          </cell>
        </row>
        <row r="81">
          <cell r="D81">
            <v>1.400475057315752</v>
          </cell>
        </row>
        <row r="82">
          <cell r="D82">
            <v>2.5242243453611404</v>
          </cell>
        </row>
        <row r="83">
          <cell r="D83">
            <v>2.564132910043414</v>
          </cell>
        </row>
        <row r="84">
          <cell r="D84">
            <v>2.689754705048985</v>
          </cell>
        </row>
        <row r="85">
          <cell r="D85">
            <v>0.25858721744979457</v>
          </cell>
        </row>
        <row r="86">
          <cell r="D86">
            <v>0.7470884588522577</v>
          </cell>
        </row>
        <row r="87">
          <cell r="D87">
            <v>0.6079963800370849</v>
          </cell>
        </row>
        <row r="88">
          <cell r="D88">
            <v>2.3600719571527864</v>
          </cell>
        </row>
        <row r="89">
          <cell r="D89">
            <v>1.5030661252707442</v>
          </cell>
        </row>
        <row r="90">
          <cell r="D90">
            <v>1.3518465953890308</v>
          </cell>
        </row>
        <row r="91">
          <cell r="D91">
            <v>0.9299717042300236</v>
          </cell>
        </row>
        <row r="92">
          <cell r="D92">
            <v>0.7190593874382712</v>
          </cell>
        </row>
        <row r="93">
          <cell r="D93">
            <v>1.489806541164223</v>
          </cell>
        </row>
        <row r="94">
          <cell r="D94" t="str">
            <v>NA</v>
          </cell>
        </row>
        <row r="95">
          <cell r="D95">
            <v>2.626046654244404</v>
          </cell>
        </row>
        <row r="96">
          <cell r="D96">
            <v>2.0490189705923316</v>
          </cell>
        </row>
        <row r="97">
          <cell r="D97">
            <v>2.048734301965422</v>
          </cell>
        </row>
        <row r="98">
          <cell r="D98">
            <v>1.805248419555237</v>
          </cell>
        </row>
        <row r="99">
          <cell r="D99">
            <v>0.8515588656493145</v>
          </cell>
        </row>
        <row r="100">
          <cell r="D100">
            <v>0.37371929925827585</v>
          </cell>
        </row>
        <row r="101">
          <cell r="D101">
            <v>0.7593062605752962</v>
          </cell>
        </row>
        <row r="102">
          <cell r="D102">
            <v>0.8561017519505532</v>
          </cell>
        </row>
      </sheetData>
      <sheetData sheetId="8">
        <row r="2">
          <cell r="C2">
            <v>1.1946153846153846</v>
          </cell>
          <cell r="D2">
            <v>0.2535329437129089</v>
          </cell>
          <cell r="E2">
            <v>0.14856117647058822</v>
          </cell>
          <cell r="H2">
            <v>1.064799896339304</v>
          </cell>
        </row>
        <row r="3">
          <cell r="C3">
            <v>0.7879999999999999</v>
          </cell>
          <cell r="D3">
            <v>0.42590225119161657</v>
          </cell>
          <cell r="E3">
            <v>0.18310083333333332</v>
          </cell>
          <cell r="H3">
            <v>0.6160009159399731</v>
          </cell>
        </row>
        <row r="4">
          <cell r="C4">
            <v>1.3174193548387099</v>
          </cell>
          <cell r="D4">
            <v>0.5037216060249055</v>
          </cell>
          <cell r="E4">
            <v>0.2257713953488372</v>
          </cell>
          <cell r="H4">
            <v>1.0512299242260723</v>
          </cell>
        </row>
        <row r="5">
          <cell r="C5">
            <v>0.8808571428571429</v>
          </cell>
          <cell r="D5">
            <v>0.14854341420386874</v>
          </cell>
          <cell r="E5">
            <v>0.23129389830508476</v>
          </cell>
          <cell r="H5">
            <v>0.8427372189301486</v>
          </cell>
        </row>
        <row r="6">
          <cell r="C6">
            <v>0.9852941176470589</v>
          </cell>
          <cell r="D6">
            <v>1.6216216139732869</v>
          </cell>
          <cell r="E6">
            <v>0.22510523809523808</v>
          </cell>
          <cell r="H6">
            <v>0.48693046058190786</v>
          </cell>
        </row>
        <row r="7">
          <cell r="C7">
            <v>0.8988095238095238</v>
          </cell>
          <cell r="D7">
            <v>0.4621601540365201</v>
          </cell>
          <cell r="E7">
            <v>0.15</v>
          </cell>
          <cell r="H7">
            <v>0.6904798941626249</v>
          </cell>
        </row>
        <row r="8">
          <cell r="C8">
            <v>0.6208454810495626</v>
          </cell>
          <cell r="D8">
            <v>0.6914807999343858</v>
          </cell>
          <cell r="E8">
            <v>0.2830099007936511</v>
          </cell>
          <cell r="H8">
            <v>0.4745015468765021</v>
          </cell>
        </row>
        <row r="9">
          <cell r="C9">
            <v>0.8285714285714285</v>
          </cell>
          <cell r="D9">
            <v>0.15241058617909223</v>
          </cell>
          <cell r="E9">
            <v>0.20842714285714287</v>
          </cell>
          <cell r="H9">
            <v>0.7807923001534688</v>
          </cell>
        </row>
        <row r="10">
          <cell r="C10">
            <v>1.18</v>
          </cell>
          <cell r="D10">
            <v>1.2894736442789467</v>
          </cell>
          <cell r="E10">
            <v>0.1750775</v>
          </cell>
          <cell r="H10">
            <v>0.7248998599078417</v>
          </cell>
        </row>
        <row r="11">
          <cell r="C11">
            <v>0.7302631578947367</v>
          </cell>
          <cell r="D11">
            <v>0.5728922409847815</v>
          </cell>
          <cell r="E11">
            <v>0.3187981395348837</v>
          </cell>
          <cell r="H11">
            <v>0.6042762502016052</v>
          </cell>
        </row>
        <row r="12">
          <cell r="C12">
            <v>0.5666666666666667</v>
          </cell>
          <cell r="D12">
            <v>0.20507258494788058</v>
          </cell>
          <cell r="E12">
            <v>0.39626875</v>
          </cell>
          <cell r="H12">
            <v>0.5098881160788789</v>
          </cell>
        </row>
        <row r="13">
          <cell r="C13">
            <v>0.5909090909090909</v>
          </cell>
          <cell r="D13">
            <v>0.1342089910817803</v>
          </cell>
          <cell r="E13">
            <v>0.22185529411764704</v>
          </cell>
          <cell r="H13">
            <v>0.546322819479366</v>
          </cell>
        </row>
        <row r="14">
          <cell r="C14">
            <v>1.2042857142857142</v>
          </cell>
          <cell r="D14">
            <v>0.039208692993858534</v>
          </cell>
          <cell r="E14">
            <v>0.052687499999999984</v>
          </cell>
          <cell r="H14">
            <v>1.2589891258034482</v>
          </cell>
        </row>
        <row r="15">
          <cell r="C15">
            <v>0.8</v>
          </cell>
          <cell r="D15">
            <v>0.4352879749621305</v>
          </cell>
          <cell r="E15">
            <v>0.41233416666666667</v>
          </cell>
          <cell r="H15">
            <v>0.7096182840357734</v>
          </cell>
        </row>
        <row r="16">
          <cell r="C16">
            <v>1.7133333333333332</v>
          </cell>
          <cell r="D16">
            <v>0.6921850320425759</v>
          </cell>
          <cell r="E16">
            <v>0.10072749999999998</v>
          </cell>
          <cell r="H16">
            <v>1.0942373262466165</v>
          </cell>
        </row>
        <row r="17">
          <cell r="C17">
            <v>0.655</v>
          </cell>
          <cell r="D17">
            <v>0.28385905484486645</v>
          </cell>
          <cell r="E17">
            <v>0.369741</v>
          </cell>
          <cell r="H17">
            <v>0.5610438005225976</v>
          </cell>
        </row>
        <row r="18">
          <cell r="C18">
            <v>0.7772727272727272</v>
          </cell>
          <cell r="D18">
            <v>0.25349423559230705</v>
          </cell>
          <cell r="E18">
            <v>0.22201357142857145</v>
          </cell>
          <cell r="H18">
            <v>0.6716737393297023</v>
          </cell>
        </row>
        <row r="19">
          <cell r="C19">
            <v>0.8846153846153846</v>
          </cell>
          <cell r="D19">
            <v>0.309699310172058</v>
          </cell>
          <cell r="E19">
            <v>0.16760312500000002</v>
          </cell>
          <cell r="H19">
            <v>0.7393633392986152</v>
          </cell>
        </row>
        <row r="20">
          <cell r="C20">
            <v>0.8258620689655171</v>
          </cell>
          <cell r="D20">
            <v>0.23188577141689556</v>
          </cell>
          <cell r="E20">
            <v>0.2875303030303031</v>
          </cell>
          <cell r="H20">
            <v>0.7295983641278218</v>
          </cell>
        </row>
        <row r="21">
          <cell r="C21">
            <v>0.8027397260273974</v>
          </cell>
          <cell r="D21">
            <v>0.34574511842174144</v>
          </cell>
          <cell r="E21">
            <v>0.2228436842105263</v>
          </cell>
          <cell r="H21">
            <v>0.652334182618641</v>
          </cell>
        </row>
        <row r="22">
          <cell r="C22">
            <v>0.95</v>
          </cell>
          <cell r="D22">
            <v>0.3359617515246489</v>
          </cell>
          <cell r="E22">
            <v>0.029500000000000002</v>
          </cell>
          <cell r="H22">
            <v>0.7266520568035141</v>
          </cell>
        </row>
        <row r="23">
          <cell r="C23">
            <v>1.772835051546391</v>
          </cell>
          <cell r="D23">
            <v>0.03026570306349221</v>
          </cell>
          <cell r="E23">
            <v>0.14832118863049093</v>
          </cell>
          <cell r="H23">
            <v>1.9737330011337317</v>
          </cell>
        </row>
        <row r="24">
          <cell r="C24">
            <v>1.831034482758621</v>
          </cell>
          <cell r="D24">
            <v>0.09455537339915825</v>
          </cell>
          <cell r="E24">
            <v>0.17318344594594598</v>
          </cell>
          <cell r="H24">
            <v>1.880009213622401</v>
          </cell>
        </row>
        <row r="25">
          <cell r="C25">
            <v>0.779113924050633</v>
          </cell>
          <cell r="D25">
            <v>0.4455390601839442</v>
          </cell>
          <cell r="E25">
            <v>0.2109570588235294</v>
          </cell>
          <cell r="H25">
            <v>0.638662423888712</v>
          </cell>
        </row>
        <row r="26">
          <cell r="C26">
            <v>1.1541401273885352</v>
          </cell>
          <cell r="D26">
            <v>0.06687644589663479</v>
          </cell>
          <cell r="E26">
            <v>0.1124453623188406</v>
          </cell>
          <cell r="H26">
            <v>1.165105584276963</v>
          </cell>
        </row>
        <row r="27">
          <cell r="C27">
            <v>2.88625</v>
          </cell>
          <cell r="D27">
            <v>0.060721852477187796</v>
          </cell>
          <cell r="E27">
            <v>0.8447965853658534</v>
          </cell>
          <cell r="H27">
            <v>3.7664243881731565</v>
          </cell>
        </row>
        <row r="28">
          <cell r="C28">
            <v>1.0335294117647058</v>
          </cell>
          <cell r="D28">
            <v>0.02170165168371038</v>
          </cell>
          <cell r="E28">
            <v>0.16440176470588236</v>
          </cell>
          <cell r="H28">
            <v>1.0884882272976624</v>
          </cell>
        </row>
        <row r="29">
          <cell r="C29">
            <v>0.8</v>
          </cell>
          <cell r="D29">
            <v>1.2305483209938068</v>
          </cell>
          <cell r="E29">
            <v>0.24611407407407407</v>
          </cell>
          <cell r="H29">
            <v>0.43145551119359427</v>
          </cell>
        </row>
        <row r="30">
          <cell r="C30">
            <v>0.732142857142857</v>
          </cell>
          <cell r="D30">
            <v>0.9448136959862427</v>
          </cell>
          <cell r="E30">
            <v>0.2610896551724138</v>
          </cell>
          <cell r="H30">
            <v>0.43921400227029767</v>
          </cell>
        </row>
        <row r="31">
          <cell r="C31">
            <v>0.79</v>
          </cell>
          <cell r="D31">
            <v>1.2278926601524573</v>
          </cell>
          <cell r="E31">
            <v>0.2710326666666667</v>
          </cell>
          <cell r="H31">
            <v>0.4546555376283978</v>
          </cell>
        </row>
        <row r="32">
          <cell r="C32">
            <v>1.3389285714285715</v>
          </cell>
          <cell r="D32">
            <v>0.06500866403789826</v>
          </cell>
          <cell r="E32">
            <v>0.13976337209302325</v>
          </cell>
          <cell r="H32">
            <v>1.2900067195084848</v>
          </cell>
        </row>
        <row r="33">
          <cell r="C33">
            <v>1.4060869565217395</v>
          </cell>
          <cell r="D33">
            <v>0.18703078701550646</v>
          </cell>
          <cell r="E33">
            <v>0.16272563535911608</v>
          </cell>
          <cell r="H33">
            <v>1.3989304658900275</v>
          </cell>
        </row>
        <row r="34">
          <cell r="C34">
            <v>1.182051282051282</v>
          </cell>
          <cell r="D34">
            <v>0.23989095972500793</v>
          </cell>
          <cell r="E34">
            <v>0.33674607142857144</v>
          </cell>
          <cell r="H34">
            <v>1.050940211526499</v>
          </cell>
        </row>
        <row r="35">
          <cell r="C35">
            <v>1.8213636363636363</v>
          </cell>
          <cell r="D35">
            <v>0.0859575622799354</v>
          </cell>
          <cell r="E35">
            <v>0.26729375</v>
          </cell>
          <cell r="H35">
            <v>1.9583770408640735</v>
          </cell>
        </row>
        <row r="36">
          <cell r="C36">
            <v>0.7523255813953489</v>
          </cell>
          <cell r="D36">
            <v>0.5991004931954922</v>
          </cell>
          <cell r="E36">
            <v>0.18804558441558442</v>
          </cell>
          <cell r="H36">
            <v>0.517438602134269</v>
          </cell>
        </row>
        <row r="37">
          <cell r="C37">
            <v>0.9</v>
          </cell>
          <cell r="D37">
            <v>1.129685563310787</v>
          </cell>
          <cell r="E37">
            <v>0.23332653679653667</v>
          </cell>
          <cell r="H37">
            <v>0.512138504374639</v>
          </cell>
        </row>
        <row r="38">
          <cell r="C38">
            <v>0.638125</v>
          </cell>
          <cell r="D38">
            <v>0.3328529222093912</v>
          </cell>
          <cell r="E38">
            <v>0.2897114423076922</v>
          </cell>
          <cell r="H38">
            <v>0.5346895973440375</v>
          </cell>
        </row>
        <row r="39">
          <cell r="C39">
            <v>0.6725</v>
          </cell>
          <cell r="D39">
            <v>0.25088924412774444</v>
          </cell>
          <cell r="E39">
            <v>0.22380636363636366</v>
          </cell>
          <cell r="H39">
            <v>0.5899203050417582</v>
          </cell>
        </row>
        <row r="40">
          <cell r="C40">
            <v>1.1625</v>
          </cell>
          <cell r="D40">
            <v>0.332370601337909</v>
          </cell>
          <cell r="E40">
            <v>0.4673107692307692</v>
          </cell>
          <cell r="H40">
            <v>1.1826483506485583</v>
          </cell>
        </row>
        <row r="41">
          <cell r="C41">
            <v>1.5811764705882352</v>
          </cell>
          <cell r="D41">
            <v>0.31878181024627766</v>
          </cell>
          <cell r="E41">
            <v>0.32652263157894734</v>
          </cell>
          <cell r="H41">
            <v>1.4061511124670911</v>
          </cell>
        </row>
        <row r="42">
          <cell r="C42">
            <v>0.7625</v>
          </cell>
          <cell r="D42">
            <v>0.1514365584718124</v>
          </cell>
          <cell r="E42">
            <v>0.2885066666666667</v>
          </cell>
          <cell r="H42">
            <v>0.7213617294900797</v>
          </cell>
        </row>
        <row r="43">
          <cell r="C43">
            <v>0.7195652173913044</v>
          </cell>
          <cell r="D43">
            <v>0.8201867282401366</v>
          </cell>
          <cell r="E43">
            <v>0.3211864</v>
          </cell>
          <cell r="H43">
            <v>0.47852875296201713</v>
          </cell>
        </row>
        <row r="44">
          <cell r="C44">
            <v>1.0034482758620689</v>
          </cell>
          <cell r="D44">
            <v>0.132397146824755</v>
          </cell>
          <cell r="E44">
            <v>0.1335802857142857</v>
          </cell>
          <cell r="H44">
            <v>1.0472331229044063</v>
          </cell>
        </row>
        <row r="45">
          <cell r="C45">
            <v>0.8730769230769231</v>
          </cell>
          <cell r="D45">
            <v>0.3294535653026219</v>
          </cell>
          <cell r="E45">
            <v>0.27991200000000005</v>
          </cell>
          <cell r="H45">
            <v>0.7729295184169591</v>
          </cell>
        </row>
        <row r="46">
          <cell r="C46">
            <v>0.7965116279069769</v>
          </cell>
          <cell r="D46">
            <v>0.5179040795016743</v>
          </cell>
          <cell r="E46">
            <v>0.25128750000000005</v>
          </cell>
          <cell r="H46">
            <v>0.615093230742894</v>
          </cell>
        </row>
        <row r="47">
          <cell r="C47">
            <v>0.8419642857142858</v>
          </cell>
          <cell r="D47">
            <v>0.6598873840237459</v>
          </cell>
          <cell r="E47">
            <v>0.15106237499999994</v>
          </cell>
          <cell r="H47">
            <v>0.557834154723622</v>
          </cell>
        </row>
        <row r="48">
          <cell r="C48">
            <v>0.7625</v>
          </cell>
          <cell r="D48">
            <v>0.13159231647110692</v>
          </cell>
          <cell r="E48">
            <v>0.2870178124999999</v>
          </cell>
          <cell r="H48">
            <v>0.7219710933033853</v>
          </cell>
        </row>
        <row r="49">
          <cell r="C49">
            <v>0.9770833333333333</v>
          </cell>
          <cell r="D49">
            <v>0.11132768054140159</v>
          </cell>
          <cell r="E49">
            <v>0.2511977777777778</v>
          </cell>
          <cell r="H49">
            <v>0.9879845746036331</v>
          </cell>
        </row>
        <row r="50">
          <cell r="C50">
            <v>0.7948905109489052</v>
          </cell>
          <cell r="D50">
            <v>0.26833764005148103</v>
          </cell>
          <cell r="E50">
            <v>0.2561272105263157</v>
          </cell>
          <cell r="H50">
            <v>0.7113654273977066</v>
          </cell>
        </row>
        <row r="51">
          <cell r="C51">
            <v>1.0425</v>
          </cell>
          <cell r="D51">
            <v>0.11702707783420828</v>
          </cell>
          <cell r="E51">
            <v>0.22849999999999998</v>
          </cell>
          <cell r="H51">
            <v>0.9824149242789454</v>
          </cell>
        </row>
        <row r="52">
          <cell r="C52">
            <v>0.8847222222222223</v>
          </cell>
          <cell r="D52">
            <v>0.1565242611739803</v>
          </cell>
          <cell r="E52">
            <v>0.212524</v>
          </cell>
          <cell r="H52">
            <v>0.914075211532874</v>
          </cell>
        </row>
        <row r="53">
          <cell r="C53">
            <v>0.8146551724137931</v>
          </cell>
          <cell r="D53">
            <v>0.07358325461113906</v>
          </cell>
          <cell r="E53">
            <v>0.16401101449275352</v>
          </cell>
          <cell r="H53">
            <v>0.8382851272917785</v>
          </cell>
        </row>
        <row r="54">
          <cell r="C54">
            <v>2.7160000000000006</v>
          </cell>
          <cell r="D54">
            <v>0.041546334194237707</v>
          </cell>
          <cell r="E54">
            <v>0.03582031141868513</v>
          </cell>
          <cell r="H54">
            <v>3.101507269072873</v>
          </cell>
        </row>
        <row r="55">
          <cell r="C55">
            <v>0.6642857142857144</v>
          </cell>
          <cell r="D55">
            <v>0.5602968460111317</v>
          </cell>
          <cell r="E55">
            <v>0.019297727272727272</v>
          </cell>
          <cell r="H55">
            <v>0.461502090758552</v>
          </cell>
        </row>
        <row r="56">
          <cell r="C56">
            <v>1.04625</v>
          </cell>
          <cell r="D56">
            <v>0.03179409538228614</v>
          </cell>
          <cell r="E56">
            <v>0.025286470588235296</v>
          </cell>
          <cell r="H56">
            <v>1.0490511953601558</v>
          </cell>
        </row>
        <row r="57">
          <cell r="C57">
            <v>0.7923423423423422</v>
          </cell>
          <cell r="D57">
            <v>0.43825028967050067</v>
          </cell>
          <cell r="E57">
            <v>0.21002492753623184</v>
          </cell>
          <cell r="H57">
            <v>0.6216929602920562</v>
          </cell>
        </row>
        <row r="58">
          <cell r="C58">
            <v>0.925</v>
          </cell>
          <cell r="D58">
            <v>0.21808206173477224</v>
          </cell>
          <cell r="E58">
            <v>0.18212555555555554</v>
          </cell>
          <cell r="H58">
            <v>0.8477231860974256</v>
          </cell>
        </row>
        <row r="59">
          <cell r="C59">
            <v>0.8026315789473685</v>
          </cell>
          <cell r="D59">
            <v>1.013105029209015</v>
          </cell>
          <cell r="E59">
            <v>0.47839478260869567</v>
          </cell>
          <cell r="H59">
            <v>0.5477996933961349</v>
          </cell>
        </row>
        <row r="60">
          <cell r="C60">
            <v>0.8203007518796996</v>
          </cell>
          <cell r="D60">
            <v>0.22332562001260783</v>
          </cell>
          <cell r="E60">
            <v>0.20104126903553302</v>
          </cell>
          <cell r="H60">
            <v>0.8020435409859462</v>
          </cell>
        </row>
        <row r="61">
          <cell r="C61">
            <v>0.8351562499999994</v>
          </cell>
          <cell r="D61">
            <v>0.06975644005969621</v>
          </cell>
          <cell r="E61">
            <v>0.14929822033898305</v>
          </cell>
          <cell r="H61">
            <v>0.8212923951535794</v>
          </cell>
        </row>
        <row r="62">
          <cell r="C62">
            <v>0.7566666666666669</v>
          </cell>
          <cell r="D62">
            <v>0.15346816072763775</v>
          </cell>
          <cell r="E62">
            <v>0.4693983783783784</v>
          </cell>
          <cell r="H62">
            <v>0.7331433015631823</v>
          </cell>
        </row>
        <row r="63">
          <cell r="C63">
            <v>0.9843999999999999</v>
          </cell>
          <cell r="D63">
            <v>0.25224611003361214</v>
          </cell>
          <cell r="E63">
            <v>0.09978518518518519</v>
          </cell>
          <cell r="H63">
            <v>0.8273677169643897</v>
          </cell>
        </row>
        <row r="64">
          <cell r="C64">
            <v>0.645</v>
          </cell>
          <cell r="D64">
            <v>0.8804060462957357</v>
          </cell>
          <cell r="E64">
            <v>0.2773167741935484</v>
          </cell>
          <cell r="H64">
            <v>0.4000535763654706</v>
          </cell>
        </row>
        <row r="65">
          <cell r="C65">
            <v>0.85</v>
          </cell>
          <cell r="D65">
            <v>0.8888400627173453</v>
          </cell>
          <cell r="E65">
            <v>0.224604358974359</v>
          </cell>
          <cell r="H65">
            <v>0.5184238314068454</v>
          </cell>
        </row>
        <row r="66">
          <cell r="C66">
            <v>0.85</v>
          </cell>
          <cell r="D66">
            <v>0.17236970981653388</v>
          </cell>
          <cell r="E66">
            <v>0.294921</v>
          </cell>
          <cell r="H66">
            <v>0.7880770988971894</v>
          </cell>
        </row>
        <row r="67">
          <cell r="C67">
            <v>0.8970833333333332</v>
          </cell>
          <cell r="D67">
            <v>0.41899663307125007</v>
          </cell>
          <cell r="E67">
            <v>0.25743935483870967</v>
          </cell>
          <cell r="H67">
            <v>0.7361364099245881</v>
          </cell>
        </row>
        <row r="68">
          <cell r="C68">
            <v>0.901</v>
          </cell>
          <cell r="D68">
            <v>0.16347320131976475</v>
          </cell>
          <cell r="E68">
            <v>0.2060755681818181</v>
          </cell>
          <cell r="H68">
            <v>0.829527203769343</v>
          </cell>
        </row>
        <row r="69">
          <cell r="C69">
            <v>0.8310344827586207</v>
          </cell>
          <cell r="D69">
            <v>0.7523073148153313</v>
          </cell>
          <cell r="E69">
            <v>0.373470588235294</v>
          </cell>
          <cell r="H69">
            <v>0.581846411749514</v>
          </cell>
        </row>
        <row r="70">
          <cell r="C70">
            <v>0.8381578947368419</v>
          </cell>
          <cell r="D70">
            <v>0.7185730309690431</v>
          </cell>
          <cell r="E70">
            <v>0.4713987499999998</v>
          </cell>
          <cell r="H70">
            <v>0.6223061847800964</v>
          </cell>
        </row>
        <row r="71">
          <cell r="C71">
            <v>0.81875</v>
          </cell>
          <cell r="D71">
            <v>0.18316265590902014</v>
          </cell>
          <cell r="E71">
            <v>0.2407226470588235</v>
          </cell>
          <cell r="H71">
            <v>0.7390627863078377</v>
          </cell>
        </row>
        <row r="72">
          <cell r="C72">
            <v>0.7253164556962025</v>
          </cell>
          <cell r="D72">
            <v>0.29030419920674233</v>
          </cell>
          <cell r="E72">
            <v>0.179980859375</v>
          </cell>
          <cell r="H72">
            <v>0.5972679655117462</v>
          </cell>
        </row>
        <row r="73">
          <cell r="C73">
            <v>0.8857142857142856</v>
          </cell>
          <cell r="D73">
            <v>0.08965479234635393</v>
          </cell>
          <cell r="E73">
            <v>0.3164686666666667</v>
          </cell>
          <cell r="H73">
            <v>0.8608227753294785</v>
          </cell>
        </row>
        <row r="74">
          <cell r="C74">
            <v>1.4485714285714286</v>
          </cell>
          <cell r="D74">
            <v>2.0794607393173026</v>
          </cell>
          <cell r="E74">
            <v>0.1240278947368421</v>
          </cell>
          <cell r="H74">
            <v>0.5432999076286682</v>
          </cell>
        </row>
        <row r="75">
          <cell r="C75">
            <v>0.4071428571428573</v>
          </cell>
          <cell r="D75">
            <v>0.09180668629828512</v>
          </cell>
          <cell r="E75">
            <v>0.0755425</v>
          </cell>
          <cell r="H75">
            <v>0.39357953593941947</v>
          </cell>
        </row>
        <row r="76">
          <cell r="C76">
            <v>1.3313513513513517</v>
          </cell>
          <cell r="D76">
            <v>0.10104952556707442</v>
          </cell>
          <cell r="E76">
            <v>0.1428872549019608</v>
          </cell>
          <cell r="H76">
            <v>1.3740206974686622</v>
          </cell>
        </row>
        <row r="77">
          <cell r="C77">
            <v>0.8970588235294119</v>
          </cell>
          <cell r="D77">
            <v>0.24276250598957003</v>
          </cell>
          <cell r="E77">
            <v>0.20908349999999998</v>
          </cell>
          <cell r="H77">
            <v>0.7839286488485938</v>
          </cell>
        </row>
        <row r="78">
          <cell r="C78">
            <v>0.640769230769231</v>
          </cell>
          <cell r="D78">
            <v>0.1751204534277871</v>
          </cell>
          <cell r="E78">
            <v>0.017288819444444447</v>
          </cell>
          <cell r="H78">
            <v>0.5678261464472572</v>
          </cell>
        </row>
        <row r="79">
          <cell r="C79">
            <v>0.8321428571428572</v>
          </cell>
          <cell r="D79">
            <v>0.6136132175696963</v>
          </cell>
          <cell r="E79">
            <v>0.31063875</v>
          </cell>
          <cell r="H79">
            <v>0.5935702210762025</v>
          </cell>
        </row>
        <row r="80">
          <cell r="C80">
            <v>0.8742222222222225</v>
          </cell>
          <cell r="D80">
            <v>0.21132428910504028</v>
          </cell>
          <cell r="E80">
            <v>2.6239443835616427</v>
          </cell>
          <cell r="H80">
            <v>1.4115337479320247</v>
          </cell>
        </row>
        <row r="81">
          <cell r="C81">
            <v>0.743478260869565</v>
          </cell>
          <cell r="D81">
            <v>0.20307318969821617</v>
          </cell>
          <cell r="E81">
            <v>0.26913282352941176</v>
          </cell>
          <cell r="H81">
            <v>0.6639542700084445</v>
          </cell>
        </row>
        <row r="82">
          <cell r="C82">
            <v>0.9384558823529412</v>
          </cell>
          <cell r="D82">
            <v>0.14459427729483865</v>
          </cell>
          <cell r="E82">
            <v>0.2576942857142857</v>
          </cell>
          <cell r="H82">
            <v>0.9332582931805816</v>
          </cell>
        </row>
        <row r="83">
          <cell r="C83">
            <v>1.0142857142857145</v>
          </cell>
          <cell r="D83">
            <v>0.04569196529954126</v>
          </cell>
          <cell r="E83">
            <v>0.37303125</v>
          </cell>
          <cell r="H83">
            <v>1.0122773432830552</v>
          </cell>
        </row>
        <row r="84">
          <cell r="C84">
            <v>0.9092105263157896</v>
          </cell>
          <cell r="D84">
            <v>0.23840101926573598</v>
          </cell>
          <cell r="E84">
            <v>0.2877620930232557</v>
          </cell>
          <cell r="H84">
            <v>0.7970972074018321</v>
          </cell>
        </row>
        <row r="85">
          <cell r="C85">
            <v>1.3071428571428572</v>
          </cell>
          <cell r="D85">
            <v>1.719383854604636</v>
          </cell>
          <cell r="E85">
            <v>0.18432222222222222</v>
          </cell>
          <cell r="H85">
            <v>0.8095564349887386</v>
          </cell>
        </row>
        <row r="86">
          <cell r="C86">
            <v>2.5904545454545453</v>
          </cell>
          <cell r="D86">
            <v>0.06078714174212467</v>
          </cell>
          <cell r="E86">
            <v>0.1932052212389381</v>
          </cell>
          <cell r="H86">
            <v>2.7247192356623167</v>
          </cell>
        </row>
        <row r="87">
          <cell r="C87">
            <v>2.5015384615384617</v>
          </cell>
          <cell r="D87">
            <v>0.07982305816138004</v>
          </cell>
          <cell r="E87">
            <v>0.03239733333333333</v>
          </cell>
          <cell r="H87">
            <v>2.6682259589404116</v>
          </cell>
        </row>
        <row r="88">
          <cell r="C88">
            <v>0.8229166666666666</v>
          </cell>
          <cell r="D88">
            <v>0.06676239632803203</v>
          </cell>
          <cell r="E88">
            <v>0.27032999999999996</v>
          </cell>
          <cell r="H88">
            <v>0.8469861606620581</v>
          </cell>
        </row>
        <row r="89">
          <cell r="C89">
            <v>0.7979999999999999</v>
          </cell>
          <cell r="D89">
            <v>0.41501056873629516</v>
          </cell>
          <cell r="E89">
            <v>0.2057640740740741</v>
          </cell>
          <cell r="H89">
            <v>0.6273547145710484</v>
          </cell>
        </row>
        <row r="90">
          <cell r="C90">
            <v>0.8372727272727274</v>
          </cell>
          <cell r="D90">
            <v>0.6223926786314171</v>
          </cell>
          <cell r="E90">
            <v>0.27091499999999996</v>
          </cell>
          <cell r="H90">
            <v>0.6314110498275178</v>
          </cell>
        </row>
        <row r="91">
          <cell r="C91">
            <v>1.87</v>
          </cell>
          <cell r="D91">
            <v>0.03893723344965431</v>
          </cell>
          <cell r="E91">
            <v>0.08683217741935485</v>
          </cell>
          <cell r="H91">
            <v>2.0053241871940126</v>
          </cell>
        </row>
        <row r="92">
          <cell r="C92">
            <v>1.3529310344827583</v>
          </cell>
          <cell r="D92">
            <v>0.5510534151748462</v>
          </cell>
          <cell r="E92">
            <v>0.12038408759124086</v>
          </cell>
          <cell r="H92">
            <v>0.96397878072071</v>
          </cell>
        </row>
        <row r="93">
          <cell r="C93">
            <v>0.7307692307692307</v>
          </cell>
          <cell r="D93">
            <v>0.8619288804473989</v>
          </cell>
          <cell r="E93">
            <v>0.41733111111111115</v>
          </cell>
          <cell r="H93">
            <v>0.5213219447723824</v>
          </cell>
        </row>
        <row r="94">
          <cell r="C94">
            <v>0.5675392670157068</v>
          </cell>
          <cell r="D94">
            <v>0.23845060790273556</v>
          </cell>
          <cell r="E94">
            <v>0.30010099173553706</v>
          </cell>
          <cell r="H94">
            <v>0.5692487241011223</v>
          </cell>
        </row>
        <row r="95">
          <cell r="C95">
            <v>0.95</v>
          </cell>
          <cell r="D95">
            <v>0.7402799158275312</v>
          </cell>
          <cell r="E95">
            <v>0.18121166666666666</v>
          </cell>
          <cell r="H95">
            <v>0.6616636091861321</v>
          </cell>
        </row>
        <row r="96">
          <cell r="C96">
            <v>0.6681818181818181</v>
          </cell>
          <cell r="D96">
            <v>0.24339804029448597</v>
          </cell>
          <cell r="E96">
            <v>0.30877818181818184</v>
          </cell>
          <cell r="H96">
            <v>0.5926241296582222</v>
          </cell>
        </row>
        <row r="97">
          <cell r="C97">
            <v>0.740625</v>
          </cell>
          <cell r="D97">
            <v>0.13606579837594512</v>
          </cell>
          <cell r="E97">
            <v>0.2507228571428572</v>
          </cell>
          <cell r="H97">
            <v>0.6941504911571786</v>
          </cell>
        </row>
        <row r="98">
          <cell r="C98">
            <v>0.8333333333333334</v>
          </cell>
          <cell r="D98">
            <v>0.5318012911943548</v>
          </cell>
          <cell r="E98">
            <v>0.27304051282051284</v>
          </cell>
          <cell r="H98">
            <v>0.6281705559303865</v>
          </cell>
        </row>
        <row r="99">
          <cell r="C99">
            <v>0.8275</v>
          </cell>
          <cell r="D99">
            <v>0.8378161555731068</v>
          </cell>
          <cell r="E99">
            <v>0.1673916666666667</v>
          </cell>
          <cell r="H99">
            <v>0.539790540607914</v>
          </cell>
        </row>
        <row r="100">
          <cell r="C100">
            <v>0.5653846153846154</v>
          </cell>
          <cell r="D100">
            <v>0.6621888134497252</v>
          </cell>
          <cell r="E100">
            <v>0.30972375</v>
          </cell>
          <cell r="H100">
            <v>0.3924111010144036</v>
          </cell>
        </row>
        <row r="101">
          <cell r="C101">
            <v>2.2096153846153848</v>
          </cell>
          <cell r="D101">
            <v>0.4850685635007627</v>
          </cell>
          <cell r="E101">
            <v>0.05107888888888888</v>
          </cell>
          <cell r="H101">
            <v>1.6832070923340705</v>
          </cell>
        </row>
        <row r="102">
          <cell r="C102">
            <v>0.9076686544912408</v>
          </cell>
          <cell r="D102">
            <v>0.3750863676354292</v>
          </cell>
          <cell r="E102">
            <v>0.32506738574303057</v>
          </cell>
          <cell r="H102">
            <v>0.7838394828212296</v>
          </cell>
        </row>
      </sheetData>
      <sheetData sheetId="9">
        <row r="2">
          <cell r="E2">
            <v>0.7605399100149974</v>
          </cell>
        </row>
        <row r="3">
          <cell r="E3">
            <v>0.9277145774082987</v>
          </cell>
        </row>
        <row r="4">
          <cell r="E4">
            <v>1.1247272131317227</v>
          </cell>
        </row>
        <row r="5">
          <cell r="E5">
            <v>1.0417510690974567</v>
          </cell>
        </row>
        <row r="6">
          <cell r="E6">
            <v>0.7611997319705168</v>
          </cell>
        </row>
        <row r="7">
          <cell r="E7">
            <v>1.1159801959338458</v>
          </cell>
        </row>
        <row r="8">
          <cell r="E8" t="str">
            <v>NA</v>
          </cell>
        </row>
        <row r="9">
          <cell r="E9" t="str">
            <v>NA</v>
          </cell>
        </row>
        <row r="10">
          <cell r="E10" t="str">
            <v>NA</v>
          </cell>
        </row>
        <row r="11">
          <cell r="E11" t="str">
            <v>NA</v>
          </cell>
        </row>
        <row r="12">
          <cell r="E12">
            <v>1.0329138431752178</v>
          </cell>
        </row>
        <row r="13">
          <cell r="E13">
            <v>1.176980198019802</v>
          </cell>
        </row>
        <row r="14">
          <cell r="E14">
            <v>1.4656263932233615</v>
          </cell>
        </row>
        <row r="15">
          <cell r="E15">
            <v>1.0142105581423475</v>
          </cell>
        </row>
        <row r="16">
          <cell r="E16">
            <v>1.2462759912773733</v>
          </cell>
        </row>
        <row r="17">
          <cell r="E17">
            <v>2.0616616335416813</v>
          </cell>
        </row>
        <row r="18">
          <cell r="E18">
            <v>1.0220770443793648</v>
          </cell>
        </row>
        <row r="19">
          <cell r="E19">
            <v>0.811733926621758</v>
          </cell>
        </row>
        <row r="20">
          <cell r="E20">
            <v>1.023022497374385</v>
          </cell>
        </row>
        <row r="21">
          <cell r="E21">
            <v>0.902683407188577</v>
          </cell>
        </row>
        <row r="22">
          <cell r="E22">
            <v>0.8342440801457196</v>
          </cell>
        </row>
        <row r="23">
          <cell r="E23">
            <v>0.6642772494724977</v>
          </cell>
        </row>
        <row r="24">
          <cell r="E24">
            <v>0.845326047806875</v>
          </cell>
        </row>
        <row r="25">
          <cell r="E25">
            <v>1.0566377684040953</v>
          </cell>
        </row>
        <row r="26">
          <cell r="E26">
            <v>1.5184637003899788</v>
          </cell>
        </row>
        <row r="27">
          <cell r="E27">
            <v>0.5930005329543436</v>
          </cell>
        </row>
        <row r="28">
          <cell r="E28">
            <v>1.1249376558603492</v>
          </cell>
        </row>
        <row r="29">
          <cell r="E29">
            <v>1.4682028401346676</v>
          </cell>
        </row>
        <row r="30">
          <cell r="E30">
            <v>1.7133294169694597</v>
          </cell>
        </row>
        <row r="31">
          <cell r="E31">
            <v>1.9337298956843314</v>
          </cell>
        </row>
        <row r="32">
          <cell r="E32">
            <v>0.47090544119917804</v>
          </cell>
        </row>
        <row r="33">
          <cell r="E33">
            <v>0.6461947785599468</v>
          </cell>
        </row>
        <row r="34">
          <cell r="E34">
            <v>0.5653598757450823</v>
          </cell>
        </row>
        <row r="35">
          <cell r="E35">
            <v>0.36778943122226704</v>
          </cell>
        </row>
        <row r="36">
          <cell r="E36">
            <v>1.0895279912184412</v>
          </cell>
        </row>
        <row r="37">
          <cell r="E37">
            <v>1.1774334600760457</v>
          </cell>
        </row>
        <row r="38">
          <cell r="E38">
            <v>0.879741964689905</v>
          </cell>
        </row>
        <row r="39">
          <cell r="E39">
            <v>2.65952366374824</v>
          </cell>
        </row>
        <row r="40">
          <cell r="E40">
            <v>0.8175496762421841</v>
          </cell>
        </row>
        <row r="41">
          <cell r="E41">
            <v>0.37673354529092645</v>
          </cell>
        </row>
        <row r="42">
          <cell r="E42">
            <v>0.7503838561087959</v>
          </cell>
        </row>
        <row r="43">
          <cell r="E43">
            <v>1.5880074232896704</v>
          </cell>
        </row>
        <row r="44">
          <cell r="E44">
            <v>0.6914765906362544</v>
          </cell>
        </row>
        <row r="45">
          <cell r="E45">
            <v>1.0553907022749753</v>
          </cell>
        </row>
        <row r="46">
          <cell r="E46">
            <v>1.5829346092503986</v>
          </cell>
        </row>
        <row r="47">
          <cell r="E47">
            <v>0.9685103292101946</v>
          </cell>
        </row>
        <row r="48">
          <cell r="E48">
            <v>0.8909652062787837</v>
          </cell>
        </row>
        <row r="49">
          <cell r="E49">
            <v>0.6933380331335918</v>
          </cell>
        </row>
        <row r="50">
          <cell r="E50">
            <v>0.9992925747558021</v>
          </cell>
        </row>
        <row r="51">
          <cell r="E51">
            <v>0.5345863204805271</v>
          </cell>
        </row>
        <row r="52">
          <cell r="E52" t="str">
            <v>NA</v>
          </cell>
        </row>
        <row r="53">
          <cell r="E53">
            <v>610</v>
          </cell>
        </row>
        <row r="54">
          <cell r="E54">
            <v>0.4486645338888475</v>
          </cell>
        </row>
        <row r="55">
          <cell r="E55">
            <v>0.23529411764705882</v>
          </cell>
        </row>
        <row r="56">
          <cell r="E56">
            <v>1.3125</v>
          </cell>
        </row>
        <row r="57">
          <cell r="E57">
            <v>0.9399121903282559</v>
          </cell>
        </row>
        <row r="58">
          <cell r="E58">
            <v>0.8896321070234113</v>
          </cell>
        </row>
        <row r="59">
          <cell r="E59">
            <v>1.9384288747346075</v>
          </cell>
        </row>
        <row r="60">
          <cell r="E60">
            <v>1.234062700801515</v>
          </cell>
        </row>
        <row r="61">
          <cell r="E61">
            <v>1.1295547139496172</v>
          </cell>
        </row>
        <row r="62">
          <cell r="E62">
            <v>0.8964831389566947</v>
          </cell>
        </row>
        <row r="63">
          <cell r="E63">
            <v>1.155930178191075</v>
          </cell>
        </row>
        <row r="64">
          <cell r="E64">
            <v>1.8637657584383895</v>
          </cell>
        </row>
        <row r="65">
          <cell r="E65">
            <v>1.9480073293632614</v>
          </cell>
        </row>
        <row r="66">
          <cell r="E66">
            <v>0.6568555837236282</v>
          </cell>
        </row>
        <row r="67">
          <cell r="E67">
            <v>0.5845817008527311</v>
          </cell>
        </row>
        <row r="68">
          <cell r="E68">
            <v>1.2263565262378398</v>
          </cell>
        </row>
        <row r="69">
          <cell r="E69">
            <v>0.7566581668791614</v>
          </cell>
        </row>
        <row r="70">
          <cell r="E70">
            <v>0.7337768691192915</v>
          </cell>
        </row>
        <row r="71">
          <cell r="E71">
            <v>1.3245529610929316</v>
          </cell>
        </row>
        <row r="72">
          <cell r="E72">
            <v>1.8175404714569725</v>
          </cell>
        </row>
        <row r="73">
          <cell r="E73">
            <v>1.7412781527979309</v>
          </cell>
        </row>
        <row r="74">
          <cell r="E74">
            <v>3.684156112690618</v>
          </cell>
        </row>
        <row r="75">
          <cell r="E75">
            <v>0.7425050579363619</v>
          </cell>
        </row>
        <row r="76">
          <cell r="E76">
            <v>0.6780702419783055</v>
          </cell>
        </row>
        <row r="77">
          <cell r="E77">
            <v>0.5129432067775337</v>
          </cell>
        </row>
        <row r="78">
          <cell r="E78">
            <v>3.033577637634225</v>
          </cell>
        </row>
        <row r="79">
          <cell r="E79">
            <v>1.4792754724147756</v>
          </cell>
        </row>
        <row r="80">
          <cell r="E80">
            <v>1.9472015008710413</v>
          </cell>
        </row>
        <row r="81">
          <cell r="E81">
            <v>1.975212570982183</v>
          </cell>
        </row>
        <row r="82">
          <cell r="E82">
            <v>1.0648455610550718</v>
          </cell>
        </row>
        <row r="83">
          <cell r="E83">
            <v>3.2574098137491494</v>
          </cell>
        </row>
        <row r="84">
          <cell r="E84">
            <v>1.991251194994061</v>
          </cell>
        </row>
        <row r="85">
          <cell r="E85">
            <v>1.3047253507833638</v>
          </cell>
        </row>
        <row r="86">
          <cell r="E86">
            <v>0.7396179497169574</v>
          </cell>
        </row>
        <row r="87">
          <cell r="E87">
            <v>0.7102673325499413</v>
          </cell>
        </row>
        <row r="88">
          <cell r="E88">
            <v>0.8475765306122449</v>
          </cell>
        </row>
        <row r="89">
          <cell r="E89">
            <v>1.218488120950324</v>
          </cell>
        </row>
        <row r="90">
          <cell r="E90">
            <v>0.849645390070922</v>
          </cell>
        </row>
        <row r="91">
          <cell r="E91">
            <v>0.4938599135765249</v>
          </cell>
        </row>
        <row r="92">
          <cell r="E92">
            <v>0.9344629303318085</v>
          </cell>
        </row>
        <row r="93">
          <cell r="E93">
            <v>0.5196538045438153</v>
          </cell>
        </row>
        <row r="94">
          <cell r="E94" t="str">
            <v>NA</v>
          </cell>
        </row>
        <row r="95">
          <cell r="E95">
            <v>0.7299247176913426</v>
          </cell>
        </row>
        <row r="96">
          <cell r="E96">
            <v>1.4529758277473086</v>
          </cell>
        </row>
        <row r="97">
          <cell r="E97">
            <v>0.8622781600869249</v>
          </cell>
        </row>
        <row r="98">
          <cell r="E98">
            <v>2.5329646106368484</v>
          </cell>
        </row>
        <row r="99">
          <cell r="E99">
            <v>1.3309542097488922</v>
          </cell>
        </row>
        <row r="100">
          <cell r="E100">
            <v>1.8690896259703602</v>
          </cell>
        </row>
        <row r="101">
          <cell r="E101">
            <v>1.1685886553883977</v>
          </cell>
        </row>
        <row r="102">
          <cell r="E102">
            <v>1.0330807368070891</v>
          </cell>
        </row>
      </sheetData>
      <sheetData sheetId="10">
        <row r="2">
          <cell r="C2">
            <v>0.20225471136159823</v>
          </cell>
        </row>
        <row r="3">
          <cell r="C3">
            <v>0.2986896548032609</v>
          </cell>
        </row>
        <row r="4">
          <cell r="C4">
            <v>0.3349832868043279</v>
          </cell>
        </row>
        <row r="5">
          <cell r="C5">
            <v>0.12933199769974213</v>
          </cell>
        </row>
        <row r="6">
          <cell r="C6">
            <v>0.6185566999181028</v>
          </cell>
        </row>
        <row r="7">
          <cell r="C7">
            <v>0.3160803915772532</v>
          </cell>
        </row>
        <row r="8">
          <cell r="C8">
            <v>0.40880203899518636</v>
          </cell>
        </row>
        <row r="9">
          <cell r="C9">
            <v>0.13225371929671478</v>
          </cell>
        </row>
        <row r="10">
          <cell r="C10">
            <v>0.5632183831865236</v>
          </cell>
        </row>
        <row r="11">
          <cell r="C11">
            <v>0.36422853775799413</v>
          </cell>
        </row>
        <row r="12">
          <cell r="C12">
            <v>0.17017446708967326</v>
          </cell>
        </row>
        <row r="13">
          <cell r="C13">
            <v>0.11832827295239046</v>
          </cell>
        </row>
        <row r="14">
          <cell r="C14">
            <v>0.037729373568750786</v>
          </cell>
        </row>
        <row r="15">
          <cell r="C15">
            <v>0.30327570672611215</v>
          </cell>
        </row>
        <row r="16">
          <cell r="C16">
            <v>0.4090480762656694</v>
          </cell>
        </row>
        <row r="17">
          <cell r="C17">
            <v>0.22109830029525027</v>
          </cell>
        </row>
        <row r="18">
          <cell r="C18">
            <v>0.2022300768479599</v>
          </cell>
        </row>
        <row r="19">
          <cell r="C19">
            <v>0.2364659641848419</v>
          </cell>
        </row>
        <row r="20">
          <cell r="C20">
            <v>0.18823642321169454</v>
          </cell>
        </row>
        <row r="21">
          <cell r="C21">
            <v>0.256917237661782</v>
          </cell>
        </row>
        <row r="22">
          <cell r="C22">
            <v>0.2514755764087085</v>
          </cell>
        </row>
        <row r="23">
          <cell r="C23">
            <v>0.029376599622308333</v>
          </cell>
        </row>
        <row r="24">
          <cell r="C24">
            <v>0.0863870167714906</v>
          </cell>
        </row>
        <row r="25">
          <cell r="C25">
            <v>0.30821654872975174</v>
          </cell>
        </row>
        <row r="26">
          <cell r="C26">
            <v>0.06268434002255044</v>
          </cell>
        </row>
        <row r="27">
          <cell r="C27">
            <v>0.05724578251629231</v>
          </cell>
        </row>
        <row r="28">
          <cell r="C28">
            <v>0.021240693550751536</v>
          </cell>
        </row>
        <row r="29">
          <cell r="C29">
            <v>0.5516797414393353</v>
          </cell>
        </row>
        <row r="30">
          <cell r="C30">
            <v>0.4858119304364083</v>
          </cell>
        </row>
        <row r="31">
          <cell r="C31">
            <v>0.551145341117301</v>
          </cell>
        </row>
        <row r="32">
          <cell r="C32">
            <v>0.061040502517062084</v>
          </cell>
        </row>
        <row r="33">
          <cell r="C33">
            <v>0.15756186702263117</v>
          </cell>
        </row>
        <row r="34">
          <cell r="C34">
            <v>0.19347746496854265</v>
          </cell>
        </row>
        <row r="35">
          <cell r="C35">
            <v>0.07915370293059157</v>
          </cell>
        </row>
        <row r="36">
          <cell r="C36">
            <v>0.3746484325061436</v>
          </cell>
        </row>
        <row r="37">
          <cell r="C37">
            <v>0.5304471151856753</v>
          </cell>
        </row>
        <row r="38">
          <cell r="C38">
            <v>0.2497296713411114</v>
          </cell>
        </row>
        <row r="39">
          <cell r="C39">
            <v>0.20056871166295112</v>
          </cell>
        </row>
        <row r="40">
          <cell r="C40">
            <v>0.249458071953972</v>
          </cell>
        </row>
        <row r="41">
          <cell r="C41">
            <v>0.24172445189151218</v>
          </cell>
        </row>
        <row r="42">
          <cell r="C42">
            <v>0.13151967197636935</v>
          </cell>
        </row>
        <row r="43">
          <cell r="C43">
            <v>0.450605817257629</v>
          </cell>
        </row>
        <row r="44">
          <cell r="C44">
            <v>0.11691759132032169</v>
          </cell>
        </row>
        <row r="45">
          <cell r="C45">
            <v>0.24781126163487235</v>
          </cell>
        </row>
        <row r="46">
          <cell r="C46">
            <v>0.3411968427357422</v>
          </cell>
        </row>
        <row r="47">
          <cell r="C47">
            <v>0.39754949063117034</v>
          </cell>
        </row>
        <row r="48">
          <cell r="C48">
            <v>0.11628951041438684</v>
          </cell>
        </row>
        <row r="49">
          <cell r="C49">
            <v>0.10017538705340849</v>
          </cell>
        </row>
        <row r="50">
          <cell r="C50">
            <v>0.21156640911531208</v>
          </cell>
        </row>
        <row r="51">
          <cell r="C51">
            <v>0.10476655414755999</v>
          </cell>
        </row>
        <row r="52">
          <cell r="C52">
            <v>0.13534023144062152</v>
          </cell>
        </row>
        <row r="53">
          <cell r="C53">
            <v>0.06853986804944302</v>
          </cell>
        </row>
        <row r="54">
          <cell r="C54">
            <v>0.03988908878103711</v>
          </cell>
        </row>
        <row r="55">
          <cell r="C55">
            <v>0.3590963139120095</v>
          </cell>
        </row>
        <row r="56">
          <cell r="C56">
            <v>0.030814380044020543</v>
          </cell>
        </row>
        <row r="57">
          <cell r="C57">
            <v>0.3047107258159515</v>
          </cell>
        </row>
        <row r="58">
          <cell r="C58">
            <v>0.1790372492836676</v>
          </cell>
        </row>
        <row r="59">
          <cell r="C59">
            <v>0.5032549293302805</v>
          </cell>
        </row>
        <row r="60">
          <cell r="C60">
            <v>0.18255615378210274</v>
          </cell>
        </row>
        <row r="61">
          <cell r="C61">
            <v>0.06520777762815193</v>
          </cell>
        </row>
        <row r="62">
          <cell r="C62">
            <v>0.1330493254628078</v>
          </cell>
        </row>
        <row r="63">
          <cell r="C63">
            <v>0.20143493200936474</v>
          </cell>
        </row>
        <row r="64">
          <cell r="C64">
            <v>0.4681999656563922</v>
          </cell>
        </row>
        <row r="65">
          <cell r="C65">
            <v>0.4705745500964395</v>
          </cell>
        </row>
        <row r="66">
          <cell r="C66">
            <v>0.14702675135090987</v>
          </cell>
        </row>
        <row r="67">
          <cell r="C67">
            <v>0.2952766929153183</v>
          </cell>
        </row>
        <row r="68">
          <cell r="C68">
            <v>0.14050448358787457</v>
          </cell>
        </row>
        <row r="69">
          <cell r="C69">
            <v>0.42932384545493607</v>
          </cell>
        </row>
        <row r="70">
          <cell r="C70">
            <v>0.4181219058022021</v>
          </cell>
        </row>
        <row r="71">
          <cell r="C71">
            <v>0.15480767162000802</v>
          </cell>
        </row>
        <row r="72">
          <cell r="C72">
            <v>0.2249889594912708</v>
          </cell>
        </row>
        <row r="73">
          <cell r="C73">
            <v>0.08227816091488961</v>
          </cell>
        </row>
        <row r="74">
          <cell r="C74">
            <v>0.6752678197086891</v>
          </cell>
        </row>
        <row r="75">
          <cell r="C75">
            <v>0.08408694272568618</v>
          </cell>
        </row>
        <row r="76">
          <cell r="C76">
            <v>0.0917756406234595</v>
          </cell>
        </row>
        <row r="77">
          <cell r="C77">
            <v>0.19534102841014375</v>
          </cell>
        </row>
        <row r="78">
          <cell r="C78">
            <v>0.14902340684903115</v>
          </cell>
        </row>
        <row r="79">
          <cell r="C79">
            <v>0.380272800748295</v>
          </cell>
        </row>
        <row r="80">
          <cell r="C80">
            <v>0.17445723742662875</v>
          </cell>
        </row>
        <row r="81">
          <cell r="C81">
            <v>0.16879537457663393</v>
          </cell>
        </row>
        <row r="82">
          <cell r="C82">
            <v>0.12632797504158086</v>
          </cell>
        </row>
        <row r="83">
          <cell r="C83">
            <v>0.04369543499978283</v>
          </cell>
        </row>
        <row r="84">
          <cell r="C84">
            <v>0.19250712455573318</v>
          </cell>
        </row>
        <row r="85">
          <cell r="C85">
            <v>0.6322696414091246</v>
          </cell>
        </row>
        <row r="86">
          <cell r="C86">
            <v>0.05730380709771264</v>
          </cell>
        </row>
        <row r="87">
          <cell r="C87">
            <v>0.07392235010918839</v>
          </cell>
        </row>
        <row r="88">
          <cell r="C88">
            <v>0.06258412984732022</v>
          </cell>
        </row>
        <row r="89">
          <cell r="C89">
            <v>0.29329149753766787</v>
          </cell>
        </row>
        <row r="90">
          <cell r="C90">
            <v>0.38362640982603646</v>
          </cell>
        </row>
        <row r="91">
          <cell r="C91">
            <v>0.037477945920147984</v>
          </cell>
        </row>
        <row r="92">
          <cell r="C92">
            <v>0.3552768781420254</v>
          </cell>
        </row>
        <row r="93">
          <cell r="C93">
            <v>0.4629225581593041</v>
          </cell>
        </row>
        <row r="94">
          <cell r="C94">
            <v>0.19253945727116376</v>
          </cell>
        </row>
        <row r="95">
          <cell r="C95">
            <v>0.4253797961436084</v>
          </cell>
        </row>
        <row r="96">
          <cell r="C96">
            <v>0.1957523113329338</v>
          </cell>
        </row>
        <row r="97">
          <cell r="C97">
            <v>0.11976929379482863</v>
          </cell>
        </row>
        <row r="98">
          <cell r="C98">
            <v>0.34717381050103835</v>
          </cell>
        </row>
        <row r="99">
          <cell r="C99">
            <v>0.4558759335271167</v>
          </cell>
        </row>
        <row r="100">
          <cell r="C100">
            <v>0.39838363012166544</v>
          </cell>
        </row>
        <row r="101">
          <cell r="C101">
            <v>0.32663041654946023</v>
          </cell>
        </row>
        <row r="102">
          <cell r="C102">
            <v>0.27277295191313705</v>
          </cell>
        </row>
      </sheetData>
      <sheetData sheetId="13">
        <row r="2">
          <cell r="D2">
            <v>0.1921826938014603</v>
          </cell>
        </row>
        <row r="3">
          <cell r="D3">
            <v>0.30420165394402027</v>
          </cell>
        </row>
        <row r="4">
          <cell r="D4" t="str">
            <v>NA</v>
          </cell>
        </row>
        <row r="5">
          <cell r="D5">
            <v>0.4577809477756286</v>
          </cell>
        </row>
        <row r="6">
          <cell r="D6">
            <v>0.2618356776026684</v>
          </cell>
        </row>
        <row r="7">
          <cell r="D7">
            <v>0.2951754150062343</v>
          </cell>
        </row>
        <row r="8">
          <cell r="D8">
            <v>0.5556722686243183</v>
          </cell>
        </row>
        <row r="9">
          <cell r="D9">
            <v>0.0007507453480004112</v>
          </cell>
        </row>
        <row r="10">
          <cell r="D10">
            <v>0.6422367139529961</v>
          </cell>
        </row>
        <row r="11">
          <cell r="D11">
            <v>0.4222138752910812</v>
          </cell>
        </row>
        <row r="12">
          <cell r="D12">
            <v>0.31191691394658755</v>
          </cell>
        </row>
        <row r="13">
          <cell r="D13">
            <v>0.385290427890933</v>
          </cell>
        </row>
        <row r="14">
          <cell r="D14">
            <v>0</v>
          </cell>
        </row>
        <row r="15">
          <cell r="D15" t="str">
            <v>NA</v>
          </cell>
        </row>
        <row r="16">
          <cell r="D16" t="str">
            <v>NA</v>
          </cell>
        </row>
        <row r="17">
          <cell r="D17">
            <v>0.2025119487189099</v>
          </cell>
        </row>
        <row r="18">
          <cell r="D18">
            <v>0.3175794129473261</v>
          </cell>
        </row>
        <row r="19">
          <cell r="D19">
            <v>1.2802861127714684</v>
          </cell>
        </row>
        <row r="20">
          <cell r="D20">
            <v>0.428697033569945</v>
          </cell>
        </row>
        <row r="21">
          <cell r="D21">
            <v>0.4597309472385065</v>
          </cell>
        </row>
        <row r="22">
          <cell r="D22">
            <v>0.8728072218986604</v>
          </cell>
        </row>
        <row r="23">
          <cell r="D23">
            <v>0.14380273398569499</v>
          </cell>
        </row>
        <row r="24">
          <cell r="D24">
            <v>0.18918490681021788</v>
          </cell>
        </row>
        <row r="25">
          <cell r="D25">
            <v>0.24600575148779807</v>
          </cell>
        </row>
        <row r="26">
          <cell r="D26">
            <v>0.525730931750107</v>
          </cell>
        </row>
        <row r="27">
          <cell r="D27" t="str">
            <v>NA</v>
          </cell>
        </row>
        <row r="28">
          <cell r="D28">
            <v>0.007039473684210527</v>
          </cell>
        </row>
        <row r="29">
          <cell r="D29">
            <v>0.6873141292220307</v>
          </cell>
        </row>
        <row r="30">
          <cell r="D30">
            <v>0.616206725336438</v>
          </cell>
        </row>
        <row r="31">
          <cell r="D31">
            <v>0.9864269581714697</v>
          </cell>
        </row>
        <row r="32">
          <cell r="D32">
            <v>0.5332601188928331</v>
          </cell>
        </row>
        <row r="33">
          <cell r="D33" t="str">
            <v>NA</v>
          </cell>
        </row>
        <row r="34">
          <cell r="D34">
            <v>0.5676165850117945</v>
          </cell>
        </row>
        <row r="35">
          <cell r="D35">
            <v>0.010319218241042346</v>
          </cell>
        </row>
        <row r="36">
          <cell r="D36">
            <v>0.045127574148426365</v>
          </cell>
        </row>
        <row r="37">
          <cell r="D37">
            <v>0.30541435445174747</v>
          </cell>
        </row>
        <row r="38">
          <cell r="D38">
            <v>0.43738880581563866</v>
          </cell>
        </row>
        <row r="39">
          <cell r="D39">
            <v>0.13756525204223952</v>
          </cell>
        </row>
        <row r="40">
          <cell r="D40">
            <v>0.4873322315840806</v>
          </cell>
        </row>
        <row r="41">
          <cell r="D41" t="str">
            <v>NA</v>
          </cell>
        </row>
        <row r="42">
          <cell r="D42">
            <v>0.24007773504623192</v>
          </cell>
        </row>
        <row r="43">
          <cell r="D43">
            <v>0.15584080800137615</v>
          </cell>
        </row>
        <row r="44">
          <cell r="D44">
            <v>0.46380740740740745</v>
          </cell>
        </row>
        <row r="45">
          <cell r="D45">
            <v>0.24571787925696595</v>
          </cell>
        </row>
        <row r="46">
          <cell r="D46">
            <v>0.10014159440325082</v>
          </cell>
        </row>
        <row r="47">
          <cell r="D47">
            <v>0.27943901716992303</v>
          </cell>
        </row>
        <row r="48">
          <cell r="D48">
            <v>0.387312369669121</v>
          </cell>
        </row>
        <row r="49">
          <cell r="D49">
            <v>0.17230094043887148</v>
          </cell>
        </row>
        <row r="50">
          <cell r="D50">
            <v>0.23672278808148375</v>
          </cell>
        </row>
        <row r="51">
          <cell r="D51">
            <v>0.21642583787544942</v>
          </cell>
        </row>
        <row r="52">
          <cell r="D52">
            <v>0.19603244594512487</v>
          </cell>
        </row>
        <row r="53">
          <cell r="D53">
            <v>0.313895133825035</v>
          </cell>
        </row>
        <row r="54">
          <cell r="D54" t="str">
            <v>NA</v>
          </cell>
        </row>
        <row r="55">
          <cell r="D55">
            <v>1.8813333333333333</v>
          </cell>
        </row>
        <row r="56">
          <cell r="D56">
            <v>0</v>
          </cell>
        </row>
        <row r="57">
          <cell r="D57">
            <v>0.5272711128111254</v>
          </cell>
        </row>
        <row r="58">
          <cell r="D58" t="str">
            <v>NA</v>
          </cell>
        </row>
        <row r="59">
          <cell r="D59">
            <v>0.7801229385307344</v>
          </cell>
        </row>
        <row r="60">
          <cell r="D60">
            <v>0.05585725802839612</v>
          </cell>
        </row>
        <row r="61">
          <cell r="D61">
            <v>0.28609569642070415</v>
          </cell>
        </row>
        <row r="62">
          <cell r="D62">
            <v>0.37102620642863204</v>
          </cell>
        </row>
        <row r="63">
          <cell r="D63">
            <v>0.7767000798824955</v>
          </cell>
        </row>
        <row r="64">
          <cell r="D64">
            <v>0.7099403590752583</v>
          </cell>
        </row>
        <row r="65">
          <cell r="D65">
            <v>3.9464620580055625</v>
          </cell>
        </row>
        <row r="66">
          <cell r="D66">
            <v>0.2732975023711666</v>
          </cell>
        </row>
        <row r="67">
          <cell r="D67">
            <v>0.15762187276626163</v>
          </cell>
        </row>
        <row r="68">
          <cell r="D68">
            <v>0.2189006074055433</v>
          </cell>
        </row>
        <row r="69">
          <cell r="D69">
            <v>0.551760058791108</v>
          </cell>
        </row>
        <row r="70">
          <cell r="D70">
            <v>1.094155966544941</v>
          </cell>
        </row>
        <row r="71">
          <cell r="D71">
            <v>0.5690305673864143</v>
          </cell>
        </row>
        <row r="72">
          <cell r="D72">
            <v>0.1896608758122979</v>
          </cell>
        </row>
        <row r="73">
          <cell r="D73">
            <v>0.09207212897792218</v>
          </cell>
        </row>
        <row r="74">
          <cell r="D74">
            <v>0.1904059680777238</v>
          </cell>
        </row>
        <row r="75">
          <cell r="D75">
            <v>0.6677988482922954</v>
          </cell>
        </row>
        <row r="76">
          <cell r="D76">
            <v>1.187440539581115</v>
          </cell>
        </row>
        <row r="77">
          <cell r="D77">
            <v>0.8150936329588014</v>
          </cell>
        </row>
        <row r="78">
          <cell r="D78">
            <v>1.6510368802902056</v>
          </cell>
        </row>
        <row r="79">
          <cell r="D79">
            <v>0.2401473818465245</v>
          </cell>
        </row>
        <row r="80">
          <cell r="D80">
            <v>0.2633877952755906</v>
          </cell>
        </row>
        <row r="81">
          <cell r="D81">
            <v>0.1559645596525275</v>
          </cell>
        </row>
        <row r="82">
          <cell r="D82">
            <v>0.1630683128309025</v>
          </cell>
        </row>
        <row r="83">
          <cell r="D83">
            <v>0.1445741171177926</v>
          </cell>
        </row>
        <row r="84">
          <cell r="D84">
            <v>0.17214252757854118</v>
          </cell>
        </row>
        <row r="85">
          <cell r="D85">
            <v>0.23568197028510246</v>
          </cell>
        </row>
        <row r="86">
          <cell r="D86">
            <v>0.4528225358373153</v>
          </cell>
        </row>
        <row r="87">
          <cell r="D87" t="str">
            <v>NA</v>
          </cell>
        </row>
        <row r="88">
          <cell r="D88">
            <v>0.20936512950094754</v>
          </cell>
        </row>
        <row r="89">
          <cell r="D89">
            <v>0.4223368382886149</v>
          </cell>
        </row>
        <row r="90">
          <cell r="D90">
            <v>0.09352084769124741</v>
          </cell>
        </row>
        <row r="91">
          <cell r="D91" t="str">
            <v>NA</v>
          </cell>
        </row>
        <row r="92">
          <cell r="D92">
            <v>0.7468983422326169</v>
          </cell>
        </row>
        <row r="93">
          <cell r="D93" t="str">
            <v>NA</v>
          </cell>
        </row>
        <row r="94">
          <cell r="D94">
            <v>0.3669912082221698</v>
          </cell>
        </row>
        <row r="95">
          <cell r="D95">
            <v>0.417298937784522</v>
          </cell>
        </row>
        <row r="96">
          <cell r="D96">
            <v>0.5636957088094087</v>
          </cell>
        </row>
        <row r="97">
          <cell r="D97">
            <v>0.43673014763693546</v>
          </cell>
        </row>
        <row r="98">
          <cell r="D98">
            <v>0.11985301571211354</v>
          </cell>
        </row>
        <row r="99">
          <cell r="D99">
            <v>0.4275456277269097</v>
          </cell>
        </row>
        <row r="100">
          <cell r="D100">
            <v>0.5076545300592719</v>
          </cell>
        </row>
        <row r="101">
          <cell r="D101" t="str">
            <v>NA</v>
          </cell>
        </row>
        <row r="102">
          <cell r="D102">
            <v>0.44793233215256956</v>
          </cell>
        </row>
      </sheetData>
      <sheetData sheetId="16">
        <row r="2">
          <cell r="D2">
            <v>-0.21124535215816348</v>
          </cell>
        </row>
        <row r="3">
          <cell r="D3">
            <v>-0.006991504554222986</v>
          </cell>
        </row>
        <row r="4">
          <cell r="D4">
            <v>0.010722255975690544</v>
          </cell>
        </row>
        <row r="5">
          <cell r="D5">
            <v>0.05402138884525122</v>
          </cell>
        </row>
        <row r="6">
          <cell r="D6">
            <v>0.07614695984160909</v>
          </cell>
        </row>
        <row r="7">
          <cell r="D7">
            <v>0.05877801877081738</v>
          </cell>
        </row>
        <row r="8">
          <cell r="D8">
            <v>4.198476620330488E-06</v>
          </cell>
        </row>
        <row r="9">
          <cell r="D9">
            <v>0</v>
          </cell>
        </row>
        <row r="10">
          <cell r="D10">
            <v>0</v>
          </cell>
        </row>
        <row r="11">
          <cell r="D11">
            <v>0</v>
          </cell>
        </row>
        <row r="12">
          <cell r="D12">
            <v>0.024285502614694508</v>
          </cell>
        </row>
        <row r="13">
          <cell r="D13">
            <v>0.05438977215400831</v>
          </cell>
        </row>
        <row r="14">
          <cell r="D14">
            <v>0.32290236641928816</v>
          </cell>
        </row>
        <row r="15">
          <cell r="D15">
            <v>0.3505948713456701</v>
          </cell>
        </row>
        <row r="16">
          <cell r="D16">
            <v>0.09823607286862357</v>
          </cell>
        </row>
        <row r="17">
          <cell r="D17">
            <v>0.7235405189173072</v>
          </cell>
        </row>
        <row r="18">
          <cell r="D18">
            <v>0.10536952015177137</v>
          </cell>
        </row>
        <row r="19">
          <cell r="D19">
            <v>-0.11424845166990545</v>
          </cell>
        </row>
        <row r="20">
          <cell r="D20">
            <v>0.04577961170547568</v>
          </cell>
        </row>
        <row r="21">
          <cell r="D21">
            <v>0.008891013041557186</v>
          </cell>
        </row>
        <row r="22">
          <cell r="D22">
            <v>-0.08919491574534082</v>
          </cell>
        </row>
        <row r="23">
          <cell r="D23">
            <v>-0.12130484006615978</v>
          </cell>
        </row>
        <row r="24">
          <cell r="D24">
            <v>-0.08853549805799336</v>
          </cell>
        </row>
        <row r="25">
          <cell r="D25">
            <v>0.023236292075651793</v>
          </cell>
        </row>
        <row r="26">
          <cell r="D26">
            <v>0.15659614510715109</v>
          </cell>
        </row>
        <row r="27">
          <cell r="D27" t="str">
            <v>NA</v>
          </cell>
        </row>
        <row r="28">
          <cell r="D28">
            <v>-0.0671427351846941</v>
          </cell>
        </row>
        <row r="29">
          <cell r="D29">
            <v>0.290353332540939</v>
          </cell>
        </row>
        <row r="30">
          <cell r="D30">
            <v>0.38497719342343006</v>
          </cell>
        </row>
        <row r="31">
          <cell r="D31">
            <v>0.6373812670991944</v>
          </cell>
        </row>
        <row r="32">
          <cell r="D32">
            <v>-0.23414087643033338</v>
          </cell>
        </row>
        <row r="33">
          <cell r="D33">
            <v>-0.323735178268297</v>
          </cell>
        </row>
        <row r="34">
          <cell r="D34">
            <v>-0.23669948680920638</v>
          </cell>
        </row>
        <row r="35">
          <cell r="D35">
            <v>-0.5107272888696975</v>
          </cell>
        </row>
        <row r="36">
          <cell r="D36">
            <v>0.04937570617088244</v>
          </cell>
        </row>
        <row r="37">
          <cell r="D37">
            <v>0.05245683393747053</v>
          </cell>
        </row>
        <row r="38">
          <cell r="D38">
            <v>-0.021146119536218755</v>
          </cell>
        </row>
        <row r="39">
          <cell r="D39">
            <v>0.5521472643578232</v>
          </cell>
        </row>
        <row r="40">
          <cell r="D40">
            <v>-0.17957480146828492</v>
          </cell>
        </row>
        <row r="41">
          <cell r="D41">
            <v>-1.0136251596005126</v>
          </cell>
        </row>
        <row r="42">
          <cell r="D42">
            <v>0.09028852259539366</v>
          </cell>
        </row>
        <row r="43">
          <cell r="D43">
            <v>0.37149190546100314</v>
          </cell>
        </row>
        <row r="44">
          <cell r="D44">
            <v>-0.2679825741664208</v>
          </cell>
        </row>
        <row r="45">
          <cell r="D45">
            <v>0.08516122647496087</v>
          </cell>
        </row>
        <row r="46">
          <cell r="D46">
            <v>0.5775882762271453</v>
          </cell>
        </row>
        <row r="47">
          <cell r="D47">
            <v>-0.04196778589474279</v>
          </cell>
        </row>
        <row r="48">
          <cell r="D48">
            <v>-0.025657419036739862</v>
          </cell>
        </row>
        <row r="49">
          <cell r="D49">
            <v>0.13153351806621058</v>
          </cell>
        </row>
        <row r="50">
          <cell r="D50">
            <v>0.09650883677407432</v>
          </cell>
        </row>
        <row r="51">
          <cell r="D51">
            <v>-0.22289373309290347</v>
          </cell>
        </row>
        <row r="52">
          <cell r="D52">
            <v>0.004253479174980804</v>
          </cell>
        </row>
        <row r="53">
          <cell r="D53">
            <v>3.2859712230215825</v>
          </cell>
        </row>
        <row r="54">
          <cell r="D54">
            <v>-65.59628987307823</v>
          </cell>
        </row>
        <row r="55">
          <cell r="D55">
            <v>-0.34328335743798655</v>
          </cell>
        </row>
        <row r="56">
          <cell r="D56">
            <v>0.027371902643397703</v>
          </cell>
        </row>
        <row r="57">
          <cell r="D57">
            <v>0.060723412927641655</v>
          </cell>
        </row>
        <row r="58">
          <cell r="D58">
            <v>0.2802105495724476</v>
          </cell>
        </row>
        <row r="59">
          <cell r="D59" t="str">
            <v>NA</v>
          </cell>
        </row>
        <row r="60">
          <cell r="D60">
            <v>0.06575695820455513</v>
          </cell>
        </row>
        <row r="61">
          <cell r="D61">
            <v>0.13645696456029438</v>
          </cell>
        </row>
        <row r="62">
          <cell r="D62">
            <v>0.04176125184897898</v>
          </cell>
        </row>
        <row r="63">
          <cell r="D63">
            <v>0.07794691110956581</v>
          </cell>
        </row>
        <row r="64">
          <cell r="D64">
            <v>0.42595055374568536</v>
          </cell>
        </row>
        <row r="65">
          <cell r="D65">
            <v>0.5983883565634147</v>
          </cell>
        </row>
        <row r="66">
          <cell r="D66">
            <v>-0.1221120698515343</v>
          </cell>
        </row>
        <row r="67">
          <cell r="D67">
            <v>-0.10712163968991881</v>
          </cell>
        </row>
        <row r="68">
          <cell r="D68">
            <v>0.1588520381765063</v>
          </cell>
        </row>
        <row r="69">
          <cell r="D69">
            <v>-0.08598478358470747</v>
          </cell>
        </row>
        <row r="70">
          <cell r="D70">
            <v>-0.17971118523486385</v>
          </cell>
        </row>
        <row r="71">
          <cell r="D71">
            <v>0.2413447847112689</v>
          </cell>
        </row>
        <row r="72">
          <cell r="D72">
            <v>0.46575741727245606</v>
          </cell>
        </row>
        <row r="73">
          <cell r="D73">
            <v>0.4912295089114363</v>
          </cell>
        </row>
        <row r="74">
          <cell r="D74">
            <v>1.5308471000632824</v>
          </cell>
        </row>
        <row r="75">
          <cell r="D75">
            <v>-0.16953038006201174</v>
          </cell>
        </row>
        <row r="76">
          <cell r="D76">
            <v>-0.28298930327209193</v>
          </cell>
        </row>
        <row r="77">
          <cell r="D77">
            <v>-0.3355353515814392</v>
          </cell>
        </row>
        <row r="78">
          <cell r="D78">
            <v>0.4982322250503804</v>
          </cell>
        </row>
        <row r="79">
          <cell r="D79">
            <v>0.23168776349833636</v>
          </cell>
        </row>
        <row r="80">
          <cell r="D80" t="str">
            <v>NA</v>
          </cell>
        </row>
        <row r="81">
          <cell r="D81">
            <v>0.3761366410044846</v>
          </cell>
        </row>
        <row r="82">
          <cell r="D82">
            <v>0.15692354751800794</v>
          </cell>
        </row>
        <row r="83">
          <cell r="D83">
            <v>0.6435953876760131</v>
          </cell>
        </row>
        <row r="84">
          <cell r="D84">
            <v>0.6093143698481468</v>
          </cell>
        </row>
        <row r="85">
          <cell r="D85">
            <v>0.4807041183929357</v>
          </cell>
        </row>
        <row r="86">
          <cell r="D86">
            <v>-0.2570867148865736</v>
          </cell>
        </row>
        <row r="87">
          <cell r="D87">
            <v>-0.2228467440907962</v>
          </cell>
        </row>
        <row r="88">
          <cell r="D88">
            <v>0.16714520726302756</v>
          </cell>
        </row>
        <row r="89">
          <cell r="D89">
            <v>0.18994846489609749</v>
          </cell>
        </row>
        <row r="90">
          <cell r="D90">
            <v>-0.019530883833293922</v>
          </cell>
        </row>
        <row r="91">
          <cell r="D91">
            <v>-1.4205662629203257</v>
          </cell>
        </row>
        <row r="92">
          <cell r="D92">
            <v>-0.05359902776680759</v>
          </cell>
        </row>
        <row r="93">
          <cell r="D93">
            <v>-0.7739470626056117</v>
          </cell>
        </row>
        <row r="94">
          <cell r="D94">
            <v>0</v>
          </cell>
        </row>
        <row r="95">
          <cell r="D95">
            <v>-0.052811012125758915</v>
          </cell>
        </row>
        <row r="96">
          <cell r="D96">
            <v>0.0488541822527819</v>
          </cell>
        </row>
        <row r="97">
          <cell r="D97">
            <v>-0.007401526749959174</v>
          </cell>
        </row>
        <row r="98">
          <cell r="D98">
            <v>1.2386688000531951</v>
          </cell>
        </row>
        <row r="99">
          <cell r="D99">
            <v>0.27194443923510314</v>
          </cell>
        </row>
        <row r="100">
          <cell r="D100">
            <v>0.29945599715122523</v>
          </cell>
        </row>
        <row r="101">
          <cell r="D101">
            <v>0.39760045092193286</v>
          </cell>
        </row>
        <row r="102">
          <cell r="D102">
            <v>0.06899661458456399</v>
          </cell>
        </row>
      </sheetData>
      <sheetData sheetId="19">
        <row r="2">
          <cell r="E2">
            <v>0.1519510599238487</v>
          </cell>
          <cell r="F2">
            <v>0.09351999913120994</v>
          </cell>
          <cell r="G2">
            <v>0.02401260123292639</v>
          </cell>
        </row>
        <row r="3">
          <cell r="E3">
            <v>0.10699543506926686</v>
          </cell>
          <cell r="F3">
            <v>0.07706996247462083</v>
          </cell>
          <cell r="G3">
            <v>0.031824986694415594</v>
          </cell>
        </row>
        <row r="4">
          <cell r="E4">
            <v>0.0947433965777601</v>
          </cell>
          <cell r="F4">
            <v>0.06416748999932237</v>
          </cell>
          <cell r="G4">
            <v>-0.01336380319393629</v>
          </cell>
        </row>
        <row r="5">
          <cell r="E5">
            <v>0.1258860102634359</v>
          </cell>
          <cell r="F5">
            <v>0.08318598750740151</v>
          </cell>
          <cell r="G5">
            <v>0.03507157701640524</v>
          </cell>
        </row>
        <row r="6">
          <cell r="E6">
            <v>0.13761609452451046</v>
          </cell>
          <cell r="F6">
            <v>0.09552607170448234</v>
          </cell>
          <cell r="G6">
            <v>0.012526605138953355</v>
          </cell>
        </row>
        <row r="7">
          <cell r="E7">
            <v>0.0854820390272365</v>
          </cell>
          <cell r="F7">
            <v>0.10136819824574303</v>
          </cell>
          <cell r="G7">
            <v>0.020768353166367413</v>
          </cell>
        </row>
        <row r="8">
          <cell r="E8" t="str">
            <v>NA</v>
          </cell>
          <cell r="F8" t="str">
            <v>NA</v>
          </cell>
          <cell r="G8" t="str">
            <v>NA</v>
          </cell>
        </row>
        <row r="9">
          <cell r="E9" t="str">
            <v>NA</v>
          </cell>
          <cell r="F9" t="str">
            <v>NA</v>
          </cell>
          <cell r="G9" t="str">
            <v>NA</v>
          </cell>
        </row>
        <row r="10">
          <cell r="E10" t="str">
            <v>NA</v>
          </cell>
          <cell r="F10" t="str">
            <v>NA</v>
          </cell>
          <cell r="G10" t="str">
            <v>NA</v>
          </cell>
        </row>
        <row r="11">
          <cell r="E11" t="str">
            <v>NA</v>
          </cell>
          <cell r="F11" t="str">
            <v>NA</v>
          </cell>
          <cell r="G11" t="str">
            <v>NA</v>
          </cell>
        </row>
        <row r="12">
          <cell r="E12">
            <v>0.22855872678004782</v>
          </cell>
          <cell r="F12">
            <v>0.14566852144614398</v>
          </cell>
          <cell r="G12">
            <v>0.02598495382750383</v>
          </cell>
        </row>
        <row r="13">
          <cell r="E13">
            <v>0.21769272288311833</v>
          </cell>
          <cell r="F13">
            <v>0.15150071388162606</v>
          </cell>
          <cell r="G13">
            <v>0.05183143032437471</v>
          </cell>
        </row>
        <row r="14">
          <cell r="E14">
            <v>0.2081270271594224</v>
          </cell>
          <cell r="F14">
            <v>0.12459379574098828</v>
          </cell>
          <cell r="G14">
            <v>0.08340273063815194</v>
          </cell>
        </row>
        <row r="15">
          <cell r="E15">
            <v>0.09897806669439993</v>
          </cell>
          <cell r="F15">
            <v>0.020743535452221455</v>
          </cell>
          <cell r="G15">
            <v>-0.011313088072580519</v>
          </cell>
        </row>
        <row r="16">
          <cell r="E16">
            <v>0.2669195077543669</v>
          </cell>
          <cell r="F16">
            <v>0.1921776285904635</v>
          </cell>
          <cell r="G16">
            <v>-0.020385254230069542</v>
          </cell>
        </row>
        <row r="17">
          <cell r="E17">
            <v>0.31606458998064285</v>
          </cell>
          <cell r="F17">
            <v>0.19899075276382291</v>
          </cell>
          <cell r="G17">
            <v>0.10480089446322699</v>
          </cell>
        </row>
        <row r="18">
          <cell r="E18">
            <v>0.1823784745919803</v>
          </cell>
          <cell r="F18">
            <v>0.1304396281691565</v>
          </cell>
          <cell r="G18">
            <v>0.057219652351221326</v>
          </cell>
        </row>
        <row r="19">
          <cell r="E19">
            <v>0.13185483309426657</v>
          </cell>
          <cell r="F19">
            <v>0.10825566501873071</v>
          </cell>
          <cell r="G19">
            <v>0.006445054103360397</v>
          </cell>
        </row>
        <row r="20">
          <cell r="E20">
            <v>0.1899856035634663</v>
          </cell>
          <cell r="F20">
            <v>0.12232464730214661</v>
          </cell>
          <cell r="G20">
            <v>0.056620351469418365</v>
          </cell>
        </row>
        <row r="21">
          <cell r="E21">
            <v>0.13643940414016062</v>
          </cell>
          <cell r="F21">
            <v>0.08905821934986868</v>
          </cell>
          <cell r="G21">
            <v>0.03368579597984412</v>
          </cell>
        </row>
        <row r="22">
          <cell r="E22">
            <v>0.1326755548019246</v>
          </cell>
          <cell r="F22">
            <v>0.12801598168676745</v>
          </cell>
          <cell r="G22">
            <v>-0.001791051103245088</v>
          </cell>
        </row>
        <row r="23">
          <cell r="E23">
            <v>0.23306748513138043</v>
          </cell>
          <cell r="F23">
            <v>0.15705054954840075</v>
          </cell>
          <cell r="G23">
            <v>0.11208908409514434</v>
          </cell>
        </row>
        <row r="24">
          <cell r="E24">
            <v>0.09378286912394386</v>
          </cell>
          <cell r="F24">
            <v>0.06756477473541019</v>
          </cell>
          <cell r="G24">
            <v>0.03805328869130496</v>
          </cell>
        </row>
        <row r="25">
          <cell r="E25">
            <v>0.09459566891560554</v>
          </cell>
          <cell r="F25">
            <v>0.0740240840178695</v>
          </cell>
          <cell r="G25">
            <v>0.017492920007226638</v>
          </cell>
        </row>
        <row r="26">
          <cell r="E26">
            <v>0.26259293152149477</v>
          </cell>
          <cell r="F26">
            <v>0.1871034674719394</v>
          </cell>
          <cell r="G26">
            <v>0.10097010150616473</v>
          </cell>
        </row>
        <row r="27">
          <cell r="E27">
            <v>0.021024368730804724</v>
          </cell>
          <cell r="F27">
            <v>-1.0693338466193623</v>
          </cell>
          <cell r="G27">
            <v>-0.13219964597485515</v>
          </cell>
        </row>
        <row r="28">
          <cell r="E28">
            <v>0.17843475124083358</v>
          </cell>
          <cell r="F28">
            <v>0.11077949431915426</v>
          </cell>
          <cell r="G28">
            <v>0.06283818476243137</v>
          </cell>
        </row>
        <row r="29">
          <cell r="E29">
            <v>0.21120316773846376</v>
          </cell>
          <cell r="F29">
            <v>0.15226555359869945</v>
          </cell>
          <cell r="G29">
            <v>0.03082379958088121</v>
          </cell>
        </row>
        <row r="30">
          <cell r="E30">
            <v>0.27700739368602</v>
          </cell>
          <cell r="F30">
            <v>0.19583090751114574</v>
          </cell>
          <cell r="G30">
            <v>0.0557908193983671</v>
          </cell>
        </row>
        <row r="31">
          <cell r="E31">
            <v>0.19196676876147675</v>
          </cell>
          <cell r="F31">
            <v>0.13232648071545766</v>
          </cell>
          <cell r="G31">
            <v>0.0017900662875589505</v>
          </cell>
        </row>
        <row r="32">
          <cell r="E32">
            <v>0.2039249227422724</v>
          </cell>
          <cell r="F32">
            <v>0.1575590947710407</v>
          </cell>
          <cell r="G32">
            <v>0.12384375435872258</v>
          </cell>
        </row>
        <row r="33">
          <cell r="E33">
            <v>0.035019347434570046</v>
          </cell>
          <cell r="F33">
            <v>0.019934170218207644</v>
          </cell>
          <cell r="G33">
            <v>-0.024272620631481612</v>
          </cell>
        </row>
        <row r="34">
          <cell r="E34">
            <v>0.22628583270903685</v>
          </cell>
          <cell r="F34">
            <v>0.16082025820716955</v>
          </cell>
          <cell r="G34">
            <v>0.004697598228861508</v>
          </cell>
        </row>
        <row r="35">
          <cell r="E35">
            <v>0.13761138274283347</v>
          </cell>
          <cell r="F35">
            <v>0.10153154370124588</v>
          </cell>
          <cell r="G35">
            <v>0.004155566544897666</v>
          </cell>
        </row>
        <row r="36">
          <cell r="E36">
            <v>0.24390119557000012</v>
          </cell>
          <cell r="F36">
            <v>0.15116316510400832</v>
          </cell>
          <cell r="G36">
            <v>0.02794079824171713</v>
          </cell>
        </row>
        <row r="37">
          <cell r="E37">
            <v>1.8118766171722205</v>
          </cell>
          <cell r="F37">
            <v>1.190594289000739</v>
          </cell>
          <cell r="G37">
            <v>0.3591196816251697</v>
          </cell>
        </row>
        <row r="38">
          <cell r="E38">
            <v>0.15040727889363703</v>
          </cell>
          <cell r="F38">
            <v>0.09843210331465838</v>
          </cell>
          <cell r="G38">
            <v>0.04215351315112645</v>
          </cell>
        </row>
        <row r="39">
          <cell r="E39">
            <v>0.05800023881787764</v>
          </cell>
          <cell r="F39">
            <v>0.037402128205683664</v>
          </cell>
          <cell r="G39">
            <v>0.021461487722579827</v>
          </cell>
        </row>
        <row r="40">
          <cell r="E40">
            <v>0.08694558005266073</v>
          </cell>
          <cell r="F40">
            <v>0.03742697372712027</v>
          </cell>
          <cell r="G40">
            <v>0.004646901871835093</v>
          </cell>
        </row>
        <row r="41">
          <cell r="E41">
            <v>0.22929246221653077</v>
          </cell>
          <cell r="F41">
            <v>0.19005539472455593</v>
          </cell>
          <cell r="G41">
            <v>0.010039366526133582</v>
          </cell>
        </row>
        <row r="42">
          <cell r="E42">
            <v>0.11274279694051709</v>
          </cell>
          <cell r="F42">
            <v>0.07481819289632456</v>
          </cell>
          <cell r="G42">
            <v>0.02965015416815918</v>
          </cell>
        </row>
        <row r="43">
          <cell r="E43">
            <v>0.06770063263362205</v>
          </cell>
          <cell r="F43">
            <v>0.03872649494277489</v>
          </cell>
          <cell r="G43">
            <v>0.013407507376219954</v>
          </cell>
        </row>
        <row r="44">
          <cell r="E44">
            <v>0.1479472668302694</v>
          </cell>
          <cell r="F44">
            <v>0.09667820037025877</v>
          </cell>
          <cell r="G44">
            <v>-0.007577388384208033</v>
          </cell>
        </row>
        <row r="45">
          <cell r="E45">
            <v>0.11071923331446386</v>
          </cell>
          <cell r="F45">
            <v>0.07657864275292411</v>
          </cell>
          <cell r="G45">
            <v>0.02217296668075234</v>
          </cell>
        </row>
        <row r="46">
          <cell r="E46">
            <v>0.13923279332453212</v>
          </cell>
          <cell r="F46">
            <v>0.0950914492768638</v>
          </cell>
          <cell r="G46">
            <v>0.06735852519284619</v>
          </cell>
        </row>
        <row r="47">
          <cell r="E47">
            <v>0.23179791692700563</v>
          </cell>
          <cell r="F47">
            <v>0.16887596619706077</v>
          </cell>
          <cell r="G47">
            <v>0.01880235074660654</v>
          </cell>
        </row>
        <row r="48">
          <cell r="E48">
            <v>0.20827748583739178</v>
          </cell>
          <cell r="F48">
            <v>0.1442425384561901</v>
          </cell>
          <cell r="G48">
            <v>0.09854311150868228</v>
          </cell>
        </row>
        <row r="49">
          <cell r="E49">
            <v>0.03959568088633225</v>
          </cell>
          <cell r="F49">
            <v>0.024154487881843656</v>
          </cell>
          <cell r="G49">
            <v>0.0005640683161230414</v>
          </cell>
        </row>
        <row r="50">
          <cell r="E50">
            <v>0.10536747407072057</v>
          </cell>
          <cell r="F50">
            <v>0.06790535364890289</v>
          </cell>
          <cell r="G50">
            <v>0.018808883147833428</v>
          </cell>
        </row>
        <row r="51">
          <cell r="E51">
            <v>0.2829890383294245</v>
          </cell>
          <cell r="F51">
            <v>0.19554732582379833</v>
          </cell>
          <cell r="G51">
            <v>0.06799445668395991</v>
          </cell>
        </row>
        <row r="52">
          <cell r="E52" t="str">
            <v>NA</v>
          </cell>
          <cell r="F52" t="str">
            <v>NA</v>
          </cell>
          <cell r="G52" t="str">
            <v>NA</v>
          </cell>
        </row>
        <row r="53">
          <cell r="E53" t="str">
            <v>NA</v>
          </cell>
          <cell r="F53" t="str">
            <v>NA</v>
          </cell>
          <cell r="G53" t="str">
            <v>NA</v>
          </cell>
        </row>
        <row r="54">
          <cell r="E54">
            <v>0.03149296417936949</v>
          </cell>
          <cell r="F54">
            <v>0.002373235073392351</v>
          </cell>
          <cell r="G54">
            <v>-0.086614268537721</v>
          </cell>
        </row>
        <row r="55">
          <cell r="E55" t="str">
            <v>NA</v>
          </cell>
          <cell r="F55" t="str">
            <v>NA</v>
          </cell>
          <cell r="G55" t="str">
            <v>NA</v>
          </cell>
        </row>
        <row r="56">
          <cell r="E56" t="str">
            <v>NA</v>
          </cell>
          <cell r="F56" t="str">
            <v>NA</v>
          </cell>
          <cell r="G56" t="str">
            <v>NA</v>
          </cell>
        </row>
        <row r="57">
          <cell r="E57">
            <v>0.10757242679697347</v>
          </cell>
          <cell r="F57">
            <v>0.07465145029359602</v>
          </cell>
          <cell r="G57">
            <v>0.019994374948855358</v>
          </cell>
        </row>
        <row r="58">
          <cell r="E58">
            <v>0.026233226656308582</v>
          </cell>
          <cell r="F58">
            <v>0.010247342137706245</v>
          </cell>
          <cell r="G58">
            <v>0.003166534375897185</v>
          </cell>
        </row>
        <row r="59">
          <cell r="E59">
            <v>0.17525498694555594</v>
          </cell>
          <cell r="F59">
            <v>-0.023960223219898994</v>
          </cell>
          <cell r="G59">
            <v>0.03458503139723231</v>
          </cell>
        </row>
        <row r="60">
          <cell r="E60">
            <v>0.11889286275968403</v>
          </cell>
          <cell r="F60">
            <v>0.07703409422769021</v>
          </cell>
          <cell r="G60">
            <v>0.02298121611753029</v>
          </cell>
        </row>
        <row r="61">
          <cell r="E61">
            <v>0.14266793419854001</v>
          </cell>
          <cell r="F61">
            <v>0.100123434873443</v>
          </cell>
          <cell r="G61">
            <v>0.06606387038870754</v>
          </cell>
        </row>
        <row r="62">
          <cell r="E62">
            <v>0.12218701505930495</v>
          </cell>
          <cell r="F62">
            <v>0.07557536045614366</v>
          </cell>
          <cell r="G62">
            <v>0.039099025492229426</v>
          </cell>
        </row>
        <row r="63">
          <cell r="E63">
            <v>0.1746177278473861</v>
          </cell>
          <cell r="F63">
            <v>0.11878243366954265</v>
          </cell>
          <cell r="G63">
            <v>0.018068320637539895</v>
          </cell>
        </row>
        <row r="64">
          <cell r="E64">
            <v>0.20593113864275656</v>
          </cell>
          <cell r="F64">
            <v>0.13986120640929667</v>
          </cell>
          <cell r="G64">
            <v>0.03410750971979937</v>
          </cell>
        </row>
        <row r="65">
          <cell r="E65">
            <v>0.2732516879868862</v>
          </cell>
          <cell r="F65">
            <v>0.21057358664747072</v>
          </cell>
          <cell r="G65">
            <v>0.047998445060228115</v>
          </cell>
        </row>
        <row r="66">
          <cell r="E66">
            <v>0.2247477322718302</v>
          </cell>
          <cell r="F66">
            <v>0.13981649666292043</v>
          </cell>
          <cell r="G66">
            <v>0.08321247015045634</v>
          </cell>
        </row>
        <row r="67">
          <cell r="E67">
            <v>0.11951728684235376</v>
          </cell>
          <cell r="F67">
            <v>0.07791861641841318</v>
          </cell>
          <cell r="G67">
            <v>0.03841551841501106</v>
          </cell>
        </row>
        <row r="68">
          <cell r="E68">
            <v>0.18667294871728624</v>
          </cell>
          <cell r="F68">
            <v>0.1250679424544756</v>
          </cell>
          <cell r="G68">
            <v>0.013913994669414382</v>
          </cell>
        </row>
        <row r="69">
          <cell r="E69">
            <v>0.14197597035103993</v>
          </cell>
          <cell r="F69">
            <v>0.09858526286727139</v>
          </cell>
          <cell r="G69">
            <v>0.005732106082281366</v>
          </cell>
        </row>
        <row r="70">
          <cell r="E70">
            <v>0.12848606947911304</v>
          </cell>
          <cell r="F70">
            <v>0.09077087614699235</v>
          </cell>
          <cell r="G70">
            <v>0.007046656201133885</v>
          </cell>
        </row>
        <row r="71">
          <cell r="E71">
            <v>0.12877726848251356</v>
          </cell>
          <cell r="F71">
            <v>0.07455572134509063</v>
          </cell>
          <cell r="G71">
            <v>0.0387962514435038</v>
          </cell>
        </row>
        <row r="72">
          <cell r="E72">
            <v>0.49229534218267407</v>
          </cell>
          <cell r="F72">
            <v>0.3420111215993838</v>
          </cell>
          <cell r="G72">
            <v>0.12609308508861589</v>
          </cell>
        </row>
        <row r="73">
          <cell r="E73">
            <v>0.04994587949346159</v>
          </cell>
          <cell r="F73">
            <v>0.033065844457731315</v>
          </cell>
          <cell r="G73">
            <v>0.019261263473925865</v>
          </cell>
        </row>
        <row r="74">
          <cell r="E74">
            <v>0.16216883930597367</v>
          </cell>
          <cell r="F74">
            <v>0.10499387477876775</v>
          </cell>
          <cell r="G74">
            <v>0.010358963498570498</v>
          </cell>
        </row>
        <row r="75">
          <cell r="E75">
            <v>0.2885090149454398</v>
          </cell>
          <cell r="F75">
            <v>0.25504924538035834</v>
          </cell>
          <cell r="G75">
            <v>0.020120063783885186</v>
          </cell>
        </row>
        <row r="76">
          <cell r="E76">
            <v>0.09176937477212437</v>
          </cell>
          <cell r="F76">
            <v>0.06835027740031932</v>
          </cell>
          <cell r="G76">
            <v>-0.004878110109506028</v>
          </cell>
        </row>
        <row r="77">
          <cell r="E77">
            <v>0.1405101407453173</v>
          </cell>
          <cell r="F77">
            <v>0.09564212391314174</v>
          </cell>
          <cell r="G77">
            <v>0.016992912503830063</v>
          </cell>
        </row>
        <row r="78">
          <cell r="E78">
            <v>0.43716576465653706</v>
          </cell>
          <cell r="F78">
            <v>0.35713853617286123</v>
          </cell>
          <cell r="G78">
            <v>0.8003084874643143</v>
          </cell>
        </row>
        <row r="79">
          <cell r="E79">
            <v>0.2820144298485153</v>
          </cell>
          <cell r="F79">
            <v>0.1839051386711538</v>
          </cell>
          <cell r="G79">
            <v>0.035623550326473664</v>
          </cell>
        </row>
        <row r="80">
          <cell r="E80">
            <v>0.18621568899119859</v>
          </cell>
          <cell r="F80">
            <v>-0.007223810877706985</v>
          </cell>
          <cell r="G80">
            <v>0.05091272962564735</v>
          </cell>
        </row>
        <row r="81">
          <cell r="E81">
            <v>0.18495949901063302</v>
          </cell>
          <cell r="F81">
            <v>0.11955937099865496</v>
          </cell>
          <cell r="G81">
            <v>0.05070001211469824</v>
          </cell>
        </row>
        <row r="82">
          <cell r="E82">
            <v>0.09127082629596678</v>
          </cell>
          <cell r="F82">
            <v>0.05738592663230529</v>
          </cell>
          <cell r="G82">
            <v>0.021441722769728413</v>
          </cell>
        </row>
        <row r="83">
          <cell r="E83">
            <v>0.1132628530304124</v>
          </cell>
          <cell r="F83">
            <v>0.07061283722593728</v>
          </cell>
          <cell r="G83">
            <v>0.06492959625855027</v>
          </cell>
        </row>
        <row r="84">
          <cell r="E84">
            <v>0.07704925345576118</v>
          </cell>
          <cell r="F84">
            <v>0.04939346716044111</v>
          </cell>
          <cell r="G84">
            <v>0.010258216433749417</v>
          </cell>
        </row>
        <row r="85">
          <cell r="E85">
            <v>0.5398918258018411</v>
          </cell>
          <cell r="F85">
            <v>0.3669859080667536</v>
          </cell>
          <cell r="G85">
            <v>0.03013493631510362</v>
          </cell>
        </row>
        <row r="86">
          <cell r="E86">
            <v>0.21092140013732688</v>
          </cell>
          <cell r="F86">
            <v>0.14700478148389826</v>
          </cell>
          <cell r="G86">
            <v>0.03593529429325691</v>
          </cell>
        </row>
        <row r="87">
          <cell r="E87">
            <v>0.08289713548407972</v>
          </cell>
          <cell r="F87">
            <v>0.07026156282358272</v>
          </cell>
          <cell r="G87">
            <v>-0.0473805979808439</v>
          </cell>
        </row>
        <row r="88">
          <cell r="E88">
            <v>0.1126865647466436</v>
          </cell>
          <cell r="F88">
            <v>0.07433705208072759</v>
          </cell>
          <cell r="G88">
            <v>0.054538761368557814</v>
          </cell>
        </row>
        <row r="89">
          <cell r="E89">
            <v>0.11127172351521183</v>
          </cell>
          <cell r="F89">
            <v>0.08607701052204837</v>
          </cell>
          <cell r="G89">
            <v>0.0035822875780861297</v>
          </cell>
        </row>
        <row r="90">
          <cell r="E90">
            <v>0.13666798870820987</v>
          </cell>
          <cell r="F90">
            <v>0.08963665544227474</v>
          </cell>
          <cell r="G90">
            <v>0.0017730910108951778</v>
          </cell>
        </row>
        <row r="91">
          <cell r="E91">
            <v>0.07414594511666164</v>
          </cell>
          <cell r="F91">
            <v>0.029207283271537873</v>
          </cell>
          <cell r="G91">
            <v>0.010683005506968853</v>
          </cell>
        </row>
        <row r="92">
          <cell r="E92">
            <v>0.36547548863690604</v>
          </cell>
          <cell r="F92">
            <v>0.24821076059073827</v>
          </cell>
          <cell r="G92">
            <v>0.05139124657133512</v>
          </cell>
        </row>
        <row r="93">
          <cell r="E93">
            <v>0.09150403540441389</v>
          </cell>
          <cell r="F93">
            <v>0.03872858964653818</v>
          </cell>
          <cell r="G93">
            <v>-0.004871988974941285</v>
          </cell>
        </row>
        <row r="94">
          <cell r="E94" t="str">
            <v>NA</v>
          </cell>
          <cell r="F94" t="str">
            <v>NA</v>
          </cell>
          <cell r="G94" t="str">
            <v>NA</v>
          </cell>
        </row>
        <row r="95">
          <cell r="E95">
            <v>0.08228622329604397</v>
          </cell>
          <cell r="F95">
            <v>0.06815290654906521</v>
          </cell>
          <cell r="G95">
            <v>0.00874825416642341</v>
          </cell>
        </row>
        <row r="96">
          <cell r="E96">
            <v>0.22310523657386278</v>
          </cell>
          <cell r="F96">
            <v>0.14639051427665076</v>
          </cell>
          <cell r="G96">
            <v>0.07692526810193862</v>
          </cell>
        </row>
        <row r="97">
          <cell r="E97">
            <v>0.17730836325527854</v>
          </cell>
          <cell r="F97">
            <v>0.11927153623144984</v>
          </cell>
          <cell r="G97">
            <v>0.07611455666844194</v>
          </cell>
        </row>
        <row r="98">
          <cell r="E98">
            <v>0.13016501031831096</v>
          </cell>
          <cell r="F98">
            <v>0.08808122753459872</v>
          </cell>
          <cell r="G98">
            <v>0.013282931116664419</v>
          </cell>
        </row>
        <row r="99">
          <cell r="E99">
            <v>0.27399050421900817</v>
          </cell>
          <cell r="F99">
            <v>0.1988212755972353</v>
          </cell>
          <cell r="G99">
            <v>0.012630245642411273</v>
          </cell>
        </row>
        <row r="100">
          <cell r="E100">
            <v>0.42988504903853575</v>
          </cell>
          <cell r="F100">
            <v>0.3217975225886168</v>
          </cell>
          <cell r="G100">
            <v>0.07537261564599582</v>
          </cell>
        </row>
        <row r="101">
          <cell r="E101">
            <v>0.06202710892830962</v>
          </cell>
          <cell r="F101">
            <v>0.056783630919220056</v>
          </cell>
          <cell r="G101">
            <v>-0.1138469432634511</v>
          </cell>
        </row>
        <row r="102">
          <cell r="E102">
            <v>0.22088435802200618</v>
          </cell>
          <cell r="F102">
            <v>0.1196068407034168</v>
          </cell>
          <cell r="G102">
            <v>0.04351305097396794</v>
          </cell>
        </row>
      </sheetData>
      <sheetData sheetId="23">
        <row r="2">
          <cell r="H2">
            <v>2.129884110963375</v>
          </cell>
        </row>
        <row r="3">
          <cell r="H3">
            <v>1.1036580241751834</v>
          </cell>
        </row>
        <row r="4">
          <cell r="H4">
            <v>1.1468883444519307</v>
          </cell>
        </row>
        <row r="5">
          <cell r="H5">
            <v>1.4678483937258362</v>
          </cell>
        </row>
        <row r="6">
          <cell r="H6">
            <v>1.003854172721414</v>
          </cell>
        </row>
        <row r="7">
          <cell r="H7">
            <v>0.5605551905465568</v>
          </cell>
        </row>
        <row r="8">
          <cell r="H8" t="str">
            <v>NA</v>
          </cell>
        </row>
        <row r="9">
          <cell r="H9" t="str">
            <v>NA</v>
          </cell>
        </row>
        <row r="10">
          <cell r="H10" t="str">
            <v>NA</v>
          </cell>
        </row>
        <row r="11">
          <cell r="H11" t="str">
            <v>NA</v>
          </cell>
        </row>
        <row r="12">
          <cell r="H12">
            <v>2.6678860484187257</v>
          </cell>
        </row>
        <row r="13">
          <cell r="H13">
            <v>3.0818671380649976</v>
          </cell>
        </row>
        <row r="14">
          <cell r="H14">
            <v>10.79467028698993</v>
          </cell>
        </row>
        <row r="15">
          <cell r="H15">
            <v>0.7326700372327295</v>
          </cell>
        </row>
        <row r="16">
          <cell r="H16">
            <v>4.44431092912466</v>
          </cell>
        </row>
        <row r="17">
          <cell r="H17">
            <v>2.452262969146343</v>
          </cell>
        </row>
        <row r="18">
          <cell r="H18">
            <v>1.534583723026887</v>
          </cell>
        </row>
        <row r="19">
          <cell r="H19">
            <v>1.7175470358043088</v>
          </cell>
        </row>
        <row r="20">
          <cell r="H20">
            <v>1.7010518874516047</v>
          </cell>
        </row>
        <row r="21">
          <cell r="H21">
            <v>1.282386868062231</v>
          </cell>
        </row>
        <row r="22">
          <cell r="H22">
            <v>1.398503571504271</v>
          </cell>
        </row>
        <row r="23">
          <cell r="H23">
            <v>3.7251702920980123</v>
          </cell>
        </row>
        <row r="24">
          <cell r="H24">
            <v>1.4593507467820719</v>
          </cell>
        </row>
        <row r="25">
          <cell r="H25">
            <v>1.0778306479806476</v>
          </cell>
        </row>
        <row r="26">
          <cell r="H26">
            <v>4.528649684564762</v>
          </cell>
        </row>
        <row r="27">
          <cell r="H27">
            <v>2.6048383436464593</v>
          </cell>
        </row>
        <row r="28">
          <cell r="H28">
            <v>3.936450886685888</v>
          </cell>
        </row>
        <row r="29">
          <cell r="H29">
            <v>1.786408576398231</v>
          </cell>
        </row>
        <row r="30">
          <cell r="H30">
            <v>2.407848959411159</v>
          </cell>
        </row>
        <row r="31">
          <cell r="H31">
            <v>1.7577455474989734</v>
          </cell>
        </row>
        <row r="32">
          <cell r="H32">
            <v>3.3457437502469105</v>
          </cell>
        </row>
        <row r="33">
          <cell r="H33">
            <v>1.0182466822909877</v>
          </cell>
        </row>
        <row r="34">
          <cell r="H34">
            <v>3.2136170248451372</v>
          </cell>
        </row>
        <row r="35">
          <cell r="H35">
            <v>2.2900840684671464</v>
          </cell>
        </row>
        <row r="36">
          <cell r="H36">
            <v>2.1467184175454186</v>
          </cell>
        </row>
        <row r="37">
          <cell r="H37">
            <v>15.244576556579268</v>
          </cell>
        </row>
        <row r="38">
          <cell r="H38">
            <v>1.41886421814104</v>
          </cell>
        </row>
        <row r="39">
          <cell r="H39">
            <v>0.6045961796609637</v>
          </cell>
        </row>
        <row r="40">
          <cell r="H40">
            <v>0.7352221938630399</v>
          </cell>
        </row>
        <row r="41">
          <cell r="H41">
            <v>2.7380372291050215</v>
          </cell>
        </row>
        <row r="42">
          <cell r="H42">
            <v>0.9937911319946339</v>
          </cell>
        </row>
        <row r="43">
          <cell r="H43">
            <v>0.36987798876829275</v>
          </cell>
        </row>
        <row r="44">
          <cell r="H44">
            <v>2.504814798869132</v>
          </cell>
        </row>
        <row r="45">
          <cell r="H45">
            <v>0.7108783875365762</v>
          </cell>
        </row>
        <row r="46">
          <cell r="H46">
            <v>1.397273513027108</v>
          </cell>
        </row>
        <row r="47">
          <cell r="H47">
            <v>2.492495902492914</v>
          </cell>
        </row>
        <row r="48">
          <cell r="H48">
            <v>2.499685044763078</v>
          </cell>
        </row>
        <row r="49">
          <cell r="H49">
            <v>0.5456349892640772</v>
          </cell>
        </row>
        <row r="50">
          <cell r="H50">
            <v>0.9681194284879217</v>
          </cell>
        </row>
        <row r="51">
          <cell r="H51">
            <v>4.144351266197616</v>
          </cell>
        </row>
        <row r="52">
          <cell r="H52" t="str">
            <v>NA</v>
          </cell>
        </row>
        <row r="53">
          <cell r="H53" t="str">
            <v>NA</v>
          </cell>
        </row>
        <row r="54">
          <cell r="H54">
            <v>5.285451449690534</v>
          </cell>
        </row>
        <row r="55">
          <cell r="H55" t="str">
            <v>NA</v>
          </cell>
        </row>
        <row r="56">
          <cell r="H56" t="str">
            <v>NA</v>
          </cell>
        </row>
        <row r="57">
          <cell r="H57">
            <v>1.3042836346082305</v>
          </cell>
        </row>
        <row r="58">
          <cell r="H58">
            <v>0.6822234982182966</v>
          </cell>
        </row>
        <row r="59">
          <cell r="H59">
            <v>1.7371951805803127</v>
          </cell>
        </row>
        <row r="60">
          <cell r="H60">
            <v>0.9111846839175608</v>
          </cell>
        </row>
        <row r="61">
          <cell r="H61">
            <v>2.1769629100489345</v>
          </cell>
        </row>
        <row r="62">
          <cell r="H62">
            <v>1.5010527197879897</v>
          </cell>
        </row>
        <row r="63">
          <cell r="H63">
            <v>2.3597301371060415</v>
          </cell>
        </row>
        <row r="64">
          <cell r="H64">
            <v>1.8165587788172677</v>
          </cell>
        </row>
        <row r="65">
          <cell r="H65">
            <v>2.74132613657669</v>
          </cell>
        </row>
        <row r="66">
          <cell r="H66">
            <v>3.2282127108303875</v>
          </cell>
        </row>
        <row r="67">
          <cell r="H67">
            <v>1.1742382923429688</v>
          </cell>
        </row>
        <row r="68">
          <cell r="H68">
            <v>2.3741610527722075</v>
          </cell>
        </row>
        <row r="69">
          <cell r="H69">
            <v>1.1987981638395875</v>
          </cell>
        </row>
        <row r="70">
          <cell r="H70">
            <v>1.267584158627721</v>
          </cell>
        </row>
        <row r="71">
          <cell r="H71">
            <v>0.9779298798124098</v>
          </cell>
        </row>
        <row r="72">
          <cell r="H72">
            <v>4.011189717484685</v>
          </cell>
        </row>
        <row r="73">
          <cell r="H73">
            <v>0.6431864865826105</v>
          </cell>
        </row>
        <row r="74">
          <cell r="H74">
            <v>2.0524634304990395</v>
          </cell>
        </row>
        <row r="75">
          <cell r="H75">
            <v>6.107275740237001</v>
          </cell>
        </row>
        <row r="76">
          <cell r="H76">
            <v>2.0013201071172633</v>
          </cell>
        </row>
        <row r="77">
          <cell r="H77">
            <v>1.2881662422205815</v>
          </cell>
        </row>
        <row r="78">
          <cell r="H78">
            <v>19.672570322964727</v>
          </cell>
        </row>
        <row r="79">
          <cell r="H79">
            <v>2.3987754750064676</v>
          </cell>
        </row>
        <row r="80">
          <cell r="H80">
            <v>2.3613875318415034</v>
          </cell>
        </row>
        <row r="81">
          <cell r="H81">
            <v>1.747862066394759</v>
          </cell>
        </row>
        <row r="82">
          <cell r="H82">
            <v>0.888540051896498</v>
          </cell>
        </row>
        <row r="83">
          <cell r="H83">
            <v>1.4226444769648408</v>
          </cell>
        </row>
        <row r="84">
          <cell r="H84">
            <v>0.8931275823097602</v>
          </cell>
        </row>
        <row r="85">
          <cell r="H85">
            <v>3.338390012190508</v>
          </cell>
        </row>
        <row r="86">
          <cell r="H86">
            <v>4.371563095740734</v>
          </cell>
        </row>
        <row r="87">
          <cell r="H87">
            <v>4.884327271550608</v>
          </cell>
        </row>
        <row r="88">
          <cell r="H88">
            <v>1.1833650931139021</v>
          </cell>
        </row>
        <row r="89">
          <cell r="H89">
            <v>1.010201411539241</v>
          </cell>
        </row>
        <row r="90">
          <cell r="H90">
            <v>0.7536595924482914</v>
          </cell>
        </row>
        <row r="91">
          <cell r="H91">
            <v>4.498130072419532</v>
          </cell>
        </row>
        <row r="92">
          <cell r="H92">
            <v>2.2150230793400447</v>
          </cell>
        </row>
        <row r="93">
          <cell r="H93">
            <v>0.6392010714493682</v>
          </cell>
        </row>
        <row r="94">
          <cell r="H94" t="str">
            <v>NA</v>
          </cell>
        </row>
        <row r="95">
          <cell r="H95">
            <v>0.4946895223040063</v>
          </cell>
        </row>
        <row r="96">
          <cell r="H96">
            <v>1.3188550194056279</v>
          </cell>
        </row>
        <row r="97">
          <cell r="H97">
            <v>2.6758534196917894</v>
          </cell>
        </row>
        <row r="98">
          <cell r="H98">
            <v>0.8606105023598487</v>
          </cell>
        </row>
        <row r="99">
          <cell r="H99">
            <v>1.4292944575809592</v>
          </cell>
        </row>
        <row r="100">
          <cell r="H100">
            <v>3.9259016140242484</v>
          </cell>
        </row>
        <row r="101">
          <cell r="H101">
            <v>2.5534379123295703</v>
          </cell>
        </row>
        <row r="102">
          <cell r="H102">
            <v>2.100394145824422</v>
          </cell>
        </row>
      </sheetData>
      <sheetData sheetId="24">
        <row r="2">
          <cell r="C2">
            <v>0.0846879901828319</v>
          </cell>
          <cell r="E2">
            <v>0.07628946619891913</v>
          </cell>
        </row>
        <row r="3">
          <cell r="C3">
            <v>0.1178144824403365</v>
          </cell>
          <cell r="E3">
            <v>0.12226141001667078</v>
          </cell>
        </row>
        <row r="4">
          <cell r="C4">
            <v>0.10545829066004613</v>
          </cell>
          <cell r="E4">
            <v>-0.06656051628965155</v>
          </cell>
        </row>
        <row r="5">
          <cell r="C5">
            <v>0.14321979101389742</v>
          </cell>
          <cell r="E5">
            <v>0.15860111971776977</v>
          </cell>
        </row>
        <row r="6">
          <cell r="C6">
            <v>0.10687356662710769</v>
          </cell>
          <cell r="E6">
            <v>0.13602871672007139</v>
          </cell>
        </row>
        <row r="7">
          <cell r="C7">
            <v>0.27549906276339436</v>
          </cell>
          <cell r="E7">
            <v>0.1359852388709731</v>
          </cell>
        </row>
        <row r="8">
          <cell r="C8" t="str">
            <v>NA</v>
          </cell>
          <cell r="E8">
            <v>0.126690519313185</v>
          </cell>
        </row>
        <row r="9">
          <cell r="C9" t="str">
            <v>NA</v>
          </cell>
          <cell r="E9">
            <v>0.11826301575553465</v>
          </cell>
        </row>
        <row r="10">
          <cell r="C10" t="str">
            <v>NA</v>
          </cell>
          <cell r="E10">
            <v>0.16108311884384863</v>
          </cell>
        </row>
        <row r="11">
          <cell r="C11" t="str">
            <v>NA</v>
          </cell>
          <cell r="E11">
            <v>0.16713499054114303</v>
          </cell>
        </row>
        <row r="12">
          <cell r="C12">
            <v>0.18285741873257277</v>
          </cell>
          <cell r="E12">
            <v>0.3025869627219622</v>
          </cell>
        </row>
        <row r="13">
          <cell r="C13">
            <v>0.1932818076019367</v>
          </cell>
          <cell r="E13">
            <v>0.26946846592638085</v>
          </cell>
        </row>
        <row r="14">
          <cell r="C14">
            <v>0.04467348064676393</v>
          </cell>
          <cell r="E14">
            <v>0.004930895908608498</v>
          </cell>
        </row>
        <row r="15">
          <cell r="C15">
            <v>0.04883009955100467</v>
          </cell>
          <cell r="E15">
            <v>-0.020747332346755975</v>
          </cell>
        </row>
        <row r="16">
          <cell r="C16">
            <v>0.0647308015902902</v>
          </cell>
          <cell r="E16">
            <v>-0.05494953742640875</v>
          </cell>
        </row>
        <row r="17">
          <cell r="C17">
            <v>0.15553443670774136</v>
          </cell>
          <cell r="E17">
            <v>0.13861306396886514</v>
          </cell>
        </row>
        <row r="18">
          <cell r="C18">
            <v>0.13543441630360614</v>
          </cell>
          <cell r="E18">
            <v>0.09791210089106442</v>
          </cell>
        </row>
        <row r="19">
          <cell r="C19">
            <v>0.14258541697008154</v>
          </cell>
          <cell r="E19">
            <v>0.1051786717184841</v>
          </cell>
        </row>
        <row r="20">
          <cell r="C20">
            <v>0.17099291520057194</v>
          </cell>
          <cell r="E20">
            <v>0.15276107317719925</v>
          </cell>
        </row>
        <row r="21">
          <cell r="C21">
            <v>0.13395648914998998</v>
          </cell>
          <cell r="E21">
            <v>0.1220573115756729</v>
          </cell>
        </row>
        <row r="22">
          <cell r="C22">
            <v>0.17687511165126735</v>
          </cell>
          <cell r="E22">
            <v>0.04957556158687994</v>
          </cell>
        </row>
        <row r="23">
          <cell r="C23">
            <v>0.16390372219675417</v>
          </cell>
          <cell r="E23">
            <v>0.13710851153348952</v>
          </cell>
        </row>
        <row r="24">
          <cell r="C24">
            <v>0.13757747049689714</v>
          </cell>
          <cell r="E24">
            <v>0.11010195142862468</v>
          </cell>
        </row>
        <row r="25">
          <cell r="C25">
            <v>0.1109378810286209</v>
          </cell>
          <cell r="E25">
            <v>0.12270957964972608</v>
          </cell>
        </row>
        <row r="26">
          <cell r="C26">
            <v>0.19401766059403552</v>
          </cell>
          <cell r="E26">
            <v>0.2127246816269524</v>
          </cell>
        </row>
        <row r="27">
          <cell r="C27">
            <v>-0.9379820214191869</v>
          </cell>
          <cell r="E27">
            <v>-0.37141253807920477</v>
          </cell>
        </row>
        <row r="28">
          <cell r="C28">
            <v>0.1622631091270224</v>
          </cell>
          <cell r="E28">
            <v>0.08773059249228583</v>
          </cell>
        </row>
        <row r="29">
          <cell r="C29">
            <v>0.10049269866746366</v>
          </cell>
          <cell r="E29">
            <v>0.0951920254592081</v>
          </cell>
        </row>
        <row r="30">
          <cell r="C30">
            <v>0.10391189983375773</v>
          </cell>
          <cell r="E30">
            <v>0.12155229645723943</v>
          </cell>
        </row>
        <row r="31">
          <cell r="C31">
            <v>0.0857293075332022</v>
          </cell>
          <cell r="E31">
            <v>0.040408133464753776</v>
          </cell>
        </row>
        <row r="32">
          <cell r="C32">
            <v>0.1710787293987978</v>
          </cell>
          <cell r="E32">
            <v>0.18692849173252424</v>
          </cell>
        </row>
        <row r="33">
          <cell r="C33">
            <v>0.03433741984540956</v>
          </cell>
          <cell r="E33">
            <v>-0.056157372324434456</v>
          </cell>
        </row>
        <row r="34">
          <cell r="C34">
            <v>0.07297833831536821</v>
          </cell>
          <cell r="E34">
            <v>0.009856696933397543</v>
          </cell>
        </row>
        <row r="35">
          <cell r="C35">
            <v>0.13353701295567796</v>
          </cell>
          <cell r="E35">
            <v>0.02213410237923576</v>
          </cell>
        </row>
        <row r="36">
          <cell r="C36">
            <v>0.11904283651574016</v>
          </cell>
          <cell r="E36">
            <v>0.13444778198598234</v>
          </cell>
        </row>
        <row r="37">
          <cell r="C37">
            <v>0.10537890039129444</v>
          </cell>
          <cell r="E37">
            <v>0.1509638595315444</v>
          </cell>
        </row>
        <row r="38">
          <cell r="C38">
            <v>0.14721035043420266</v>
          </cell>
          <cell r="E38">
            <v>0.1986821862033598</v>
          </cell>
        </row>
        <row r="39">
          <cell r="C39">
            <v>0.14636100726406406</v>
          </cell>
          <cell r="E39">
            <v>0.17511601130456023</v>
          </cell>
        </row>
        <row r="40">
          <cell r="C40">
            <v>0.06358152824654807</v>
          </cell>
          <cell r="E40">
            <v>0.02978901298623738</v>
          </cell>
        </row>
        <row r="41">
          <cell r="C41">
            <v>0.09044220673422587</v>
          </cell>
          <cell r="E41">
            <v>-0.07091517231816677</v>
          </cell>
        </row>
        <row r="42">
          <cell r="C42">
            <v>0.1455950611293729</v>
          </cell>
          <cell r="E42">
            <v>0.11386908921500116</v>
          </cell>
        </row>
        <row r="43">
          <cell r="C43">
            <v>0.1254857889629365</v>
          </cell>
          <cell r="E43">
            <v>0.12632987392779643</v>
          </cell>
        </row>
        <row r="44">
          <cell r="C44">
            <v>0.08793068643702769</v>
          </cell>
          <cell r="E44">
            <v>0.01276644033816882</v>
          </cell>
        </row>
        <row r="45">
          <cell r="C45">
            <v>0.2153815111898462</v>
          </cell>
          <cell r="E45">
            <v>0.25342029127641835</v>
          </cell>
        </row>
        <row r="46">
          <cell r="C46">
            <v>0.10731357883133044</v>
          </cell>
          <cell r="E46">
            <v>0.18832764639750693</v>
          </cell>
        </row>
        <row r="47">
          <cell r="C47">
            <v>0.10318481815749381</v>
          </cell>
          <cell r="E47">
            <v>0.07992381448116362</v>
          </cell>
        </row>
        <row r="48">
          <cell r="C48">
            <v>0.2397285529322688</v>
          </cell>
          <cell r="E48">
            <v>0.37410811986316733</v>
          </cell>
        </row>
        <row r="49">
          <cell r="C49">
            <v>0.09899834113041298</v>
          </cell>
          <cell r="E49">
            <v>0.04610026446233218</v>
          </cell>
        </row>
        <row r="50">
          <cell r="C50">
            <v>0.13510503252212705</v>
          </cell>
          <cell r="E50">
            <v>0.09510831257929608</v>
          </cell>
        </row>
        <row r="51">
          <cell r="C51">
            <v>0.16628588653589504</v>
          </cell>
          <cell r="E51">
            <v>0.1399394672141124</v>
          </cell>
        </row>
        <row r="52">
          <cell r="C52" t="str">
            <v>NA</v>
          </cell>
          <cell r="E52">
            <v>0.0917559281320759</v>
          </cell>
        </row>
        <row r="53">
          <cell r="C53" t="str">
            <v>NA</v>
          </cell>
          <cell r="E53">
            <v>0.08268711975474262</v>
          </cell>
        </row>
        <row r="54">
          <cell r="C54">
            <v>0.002127686553396831</v>
          </cell>
          <cell r="E54">
            <v>-0.19181110883071814</v>
          </cell>
        </row>
        <row r="55">
          <cell r="C55" t="str">
            <v>NA</v>
          </cell>
          <cell r="E55">
            <v>0.07741935483870968</v>
          </cell>
        </row>
        <row r="56">
          <cell r="C56" t="str">
            <v>NA</v>
          </cell>
          <cell r="E56">
            <v>0.02666812993854258</v>
          </cell>
        </row>
        <row r="57">
          <cell r="C57">
            <v>0.09933414546169926</v>
          </cell>
          <cell r="E57">
            <v>0.0758728770167434</v>
          </cell>
        </row>
        <row r="58">
          <cell r="C58">
            <v>0.036210292415110104</v>
          </cell>
          <cell r="E58">
            <v>-0.03202369641759347</v>
          </cell>
        </row>
        <row r="59">
          <cell r="C59">
            <v>-0.01479923826840145</v>
          </cell>
          <cell r="E59">
            <v>0.03488785672441208</v>
          </cell>
        </row>
        <row r="60">
          <cell r="C60">
            <v>0.1565751485252858</v>
          </cell>
          <cell r="E60">
            <v>0.12261771550570127</v>
          </cell>
        </row>
        <row r="61">
          <cell r="C61">
            <v>0.19841557459748363</v>
          </cell>
          <cell r="E61">
            <v>0.21643351880376827</v>
          </cell>
        </row>
        <row r="62">
          <cell r="C62">
            <v>0.10943187478828877</v>
          </cell>
          <cell r="E62">
            <v>0.08552879733062527</v>
          </cell>
        </row>
        <row r="63">
          <cell r="C63">
            <v>0.10435737926797517</v>
          </cell>
          <cell r="E63">
            <v>0.06383832734271544</v>
          </cell>
        </row>
        <row r="64">
          <cell r="C64">
            <v>0.10704818591620391</v>
          </cell>
          <cell r="E64">
            <v>0.12096690219412422</v>
          </cell>
        </row>
        <row r="65">
          <cell r="C65">
            <v>0.10319780169655976</v>
          </cell>
          <cell r="E65">
            <v>0.012170679638409447</v>
          </cell>
        </row>
        <row r="66">
          <cell r="C66">
            <v>0.10480611038771562</v>
          </cell>
          <cell r="E66">
            <v>0.10238616358778607</v>
          </cell>
        </row>
        <row r="67">
          <cell r="C67">
            <v>0.13548914304268977</v>
          </cell>
          <cell r="E67">
            <v>0.19516482290082726</v>
          </cell>
        </row>
        <row r="68">
          <cell r="C68">
            <v>0.13409537319515832</v>
          </cell>
          <cell r="E68">
            <v>0.11016847695272085</v>
          </cell>
        </row>
        <row r="69">
          <cell r="C69">
            <v>0.1253782607337432</v>
          </cell>
          <cell r="E69">
            <v>0.041762896010926025</v>
          </cell>
        </row>
        <row r="70">
          <cell r="C70">
            <v>0.09619744106857778</v>
          </cell>
          <cell r="E70">
            <v>0.04858612413719422</v>
          </cell>
        </row>
        <row r="71">
          <cell r="C71">
            <v>0.13708322458086553</v>
          </cell>
          <cell r="E71">
            <v>0.11574103850677755</v>
          </cell>
        </row>
        <row r="72">
          <cell r="C72">
            <v>0.17101279624499513</v>
          </cell>
          <cell r="E72">
            <v>0.12629759926093034</v>
          </cell>
        </row>
        <row r="73">
          <cell r="C73">
            <v>0.1498880275413546</v>
          </cell>
          <cell r="E73">
            <v>0.13438156831042844</v>
          </cell>
        </row>
        <row r="74">
          <cell r="C74">
            <v>0.05120955246433098</v>
          </cell>
          <cell r="E74">
            <v>0.05976277372262774</v>
          </cell>
        </row>
        <row r="75">
          <cell r="C75">
            <v>0.1193927354358541</v>
          </cell>
          <cell r="E75">
            <v>0.04927809932922683</v>
          </cell>
        </row>
        <row r="76">
          <cell r="C76">
            <v>0.07899795278797529</v>
          </cell>
          <cell r="E76">
            <v>0.010744690589527645</v>
          </cell>
        </row>
        <row r="77">
          <cell r="C77">
            <v>0.18671309104370037</v>
          </cell>
          <cell r="E77">
            <v>0.09651571442915956</v>
          </cell>
        </row>
        <row r="78">
          <cell r="C78">
            <v>0.04542220551693282</v>
          </cell>
          <cell r="E78">
            <v>0.10219482397876793</v>
          </cell>
        </row>
        <row r="79">
          <cell r="C79">
            <v>0.09837414254793192</v>
          </cell>
          <cell r="E79">
            <v>0.09921846622532075</v>
          </cell>
        </row>
        <row r="80">
          <cell r="C80">
            <v>-0.006511499385311221</v>
          </cell>
          <cell r="E80">
            <v>0.1271907861792689</v>
          </cell>
        </row>
        <row r="81">
          <cell r="C81">
            <v>0.16743991695197658</v>
          </cell>
          <cell r="E81">
            <v>0.16338517288237958</v>
          </cell>
        </row>
        <row r="82">
          <cell r="C82">
            <v>0.14485495308637325</v>
          </cell>
          <cell r="E82">
            <v>0.12229223160497005</v>
          </cell>
        </row>
        <row r="83">
          <cell r="C83">
            <v>0.18106069980256445</v>
          </cell>
          <cell r="E83">
            <v>0.17888566983207255</v>
          </cell>
        </row>
        <row r="84">
          <cell r="C84">
            <v>0.132856310693479</v>
          </cell>
          <cell r="E84">
            <v>0.16021669820368595</v>
          </cell>
        </row>
        <row r="85">
          <cell r="C85">
            <v>0.09489786481026792</v>
          </cell>
          <cell r="E85">
            <v>0.12103685702713649</v>
          </cell>
        </row>
        <row r="86">
          <cell r="C86">
            <v>0.10982557564271846</v>
          </cell>
          <cell r="E86">
            <v>0.028907597037926967</v>
          </cell>
        </row>
        <row r="87">
          <cell r="C87">
            <v>0.04271877585248651</v>
          </cell>
          <cell r="E87">
            <v>-0.027730821597942556</v>
          </cell>
        </row>
        <row r="88">
          <cell r="C88">
            <v>0.17544079199313137</v>
          </cell>
          <cell r="E88">
            <v>0.15954042681851396</v>
          </cell>
        </row>
        <row r="89">
          <cell r="C89">
            <v>0.12937943868026433</v>
          </cell>
          <cell r="E89">
            <v>0.114335461404527</v>
          </cell>
        </row>
        <row r="90">
          <cell r="C90">
            <v>0.12117500748169875</v>
          </cell>
          <cell r="E90">
            <v>0.07117804321699246</v>
          </cell>
        </row>
        <row r="91">
          <cell r="C91">
            <v>0.027161946999961134</v>
          </cell>
          <cell r="E91">
            <v>-0.06755676309277454</v>
          </cell>
        </row>
        <row r="92">
          <cell r="C92">
            <v>0.17847827746596365</v>
          </cell>
          <cell r="E92">
            <v>0.10698818009564198</v>
          </cell>
        </row>
        <row r="93">
          <cell r="C93">
            <v>0.05769810618547758</v>
          </cell>
          <cell r="E93">
            <v>-0.015895636921727692</v>
          </cell>
        </row>
        <row r="94">
          <cell r="C94" t="str">
            <v>NA</v>
          </cell>
          <cell r="E94">
            <v>0.14956057646979593</v>
          </cell>
        </row>
        <row r="95">
          <cell r="C95">
            <v>0.17897271222020422</v>
          </cell>
          <cell r="E95">
            <v>0.08141581987213146</v>
          </cell>
        </row>
        <row r="96">
          <cell r="C96">
            <v>0.299956940867625</v>
          </cell>
          <cell r="E96">
            <v>0.39436913267852214</v>
          </cell>
        </row>
        <row r="97">
          <cell r="C97">
            <v>0.24435568752548295</v>
          </cell>
          <cell r="E97">
            <v>0.5006998512816028</v>
          </cell>
        </row>
        <row r="98">
          <cell r="C98">
            <v>0.15900849679931958</v>
          </cell>
          <cell r="E98">
            <v>0.08998346730517075</v>
          </cell>
        </row>
        <row r="99">
          <cell r="C99">
            <v>0.16930801991453143</v>
          </cell>
          <cell r="E99">
            <v>0.14436315677414774</v>
          </cell>
        </row>
        <row r="100">
          <cell r="C100">
            <v>0.12026194464486707</v>
          </cell>
          <cell r="E100">
            <v>0.08335980236456679</v>
          </cell>
        </row>
        <row r="101">
          <cell r="C101">
            <v>0.04311616645516075</v>
          </cell>
          <cell r="E101">
            <v>-0.5266775900710021</v>
          </cell>
        </row>
        <row r="102">
          <cell r="C102">
            <v>0.10239562587146586</v>
          </cell>
          <cell r="E102">
            <v>0.10118597577177166</v>
          </cell>
        </row>
      </sheetData>
      <sheetData sheetId="30">
        <row r="2">
          <cell r="G2">
            <v>-0.10663075667835127</v>
          </cell>
        </row>
        <row r="3">
          <cell r="G3">
            <v>0.02453259271632079</v>
          </cell>
        </row>
        <row r="4">
          <cell r="G4">
            <v>-0.10147719691239236</v>
          </cell>
        </row>
        <row r="5">
          <cell r="G5">
            <v>0.18061151037373302</v>
          </cell>
        </row>
        <row r="6">
          <cell r="G6">
            <v>0.419226296638372</v>
          </cell>
        </row>
        <row r="7">
          <cell r="G7">
            <v>0.05661250038543369</v>
          </cell>
        </row>
        <row r="8">
          <cell r="G8" t="str">
            <v>NA</v>
          </cell>
        </row>
        <row r="9">
          <cell r="G9" t="str">
            <v>NA</v>
          </cell>
        </row>
        <row r="10">
          <cell r="G10" t="str">
            <v>NA</v>
          </cell>
        </row>
        <row r="11">
          <cell r="G11" t="str">
            <v>NA</v>
          </cell>
        </row>
        <row r="12">
          <cell r="G12">
            <v>0.05521446143972617</v>
          </cell>
        </row>
        <row r="13">
          <cell r="G13">
            <v>-0.001478621455833156</v>
          </cell>
        </row>
        <row r="14">
          <cell r="G14">
            <v>0.05226841711162585</v>
          </cell>
        </row>
        <row r="15">
          <cell r="G15">
            <v>0.0860046709210138</v>
          </cell>
        </row>
        <row r="16">
          <cell r="G16">
            <v>-0.17254455186512452</v>
          </cell>
        </row>
        <row r="17">
          <cell r="G17">
            <v>0.0018691695410932106</v>
          </cell>
        </row>
        <row r="18">
          <cell r="G18">
            <v>0.1351162340014998</v>
          </cell>
        </row>
        <row r="19">
          <cell r="G19">
            <v>0.11970977759828429</v>
          </cell>
        </row>
        <row r="20">
          <cell r="G20">
            <v>0.17211425085099952</v>
          </cell>
        </row>
        <row r="21">
          <cell r="G21">
            <v>0.11900910443466176</v>
          </cell>
        </row>
        <row r="22">
          <cell r="G22">
            <v>0.05238559528603828</v>
          </cell>
        </row>
        <row r="23">
          <cell r="G23">
            <v>-0.03920200087588628</v>
          </cell>
        </row>
        <row r="24">
          <cell r="G24">
            <v>0.018879384621432762</v>
          </cell>
        </row>
        <row r="25">
          <cell r="G25">
            <v>0.0407225698672692</v>
          </cell>
        </row>
        <row r="26">
          <cell r="G26">
            <v>0.0777840514801134</v>
          </cell>
        </row>
        <row r="27">
          <cell r="G27">
            <v>-0.1876938438960921</v>
          </cell>
        </row>
        <row r="28">
          <cell r="G28">
            <v>-0.10259752228234395</v>
          </cell>
        </row>
        <row r="29">
          <cell r="G29">
            <v>0.04354989067290165</v>
          </cell>
        </row>
        <row r="30">
          <cell r="G30">
            <v>0.04295461903481176</v>
          </cell>
        </row>
        <row r="31">
          <cell r="G31">
            <v>-0.062117255563515356</v>
          </cell>
        </row>
        <row r="32">
          <cell r="G32">
            <v>-0.03685312525950776</v>
          </cell>
        </row>
        <row r="33">
          <cell r="G33">
            <v>0.14373309790284886</v>
          </cell>
        </row>
        <row r="34">
          <cell r="G34">
            <v>-0.00856986716461301</v>
          </cell>
        </row>
        <row r="35">
          <cell r="G35">
            <v>-0.028355161357219202</v>
          </cell>
        </row>
        <row r="36">
          <cell r="G36">
            <v>-0.0077119720669955654</v>
          </cell>
        </row>
        <row r="37">
          <cell r="G37">
            <v>0.40920169633069203</v>
          </cell>
        </row>
        <row r="38">
          <cell r="G38">
            <v>0.055944181246102793</v>
          </cell>
        </row>
        <row r="39">
          <cell r="G39">
            <v>0.003413071263643134</v>
          </cell>
        </row>
        <row r="40">
          <cell r="G40">
            <v>0.10328791463019113</v>
          </cell>
        </row>
        <row r="41">
          <cell r="G41">
            <v>-0.027493795279940177</v>
          </cell>
        </row>
        <row r="42">
          <cell r="G42">
            <v>0.13666182037829144</v>
          </cell>
        </row>
        <row r="43">
          <cell r="G43">
            <v>0.009496473987340569</v>
          </cell>
        </row>
        <row r="44">
          <cell r="G44">
            <v>-0.0012341958353066075</v>
          </cell>
        </row>
        <row r="45">
          <cell r="G45">
            <v>0.09471149629653254</v>
          </cell>
        </row>
        <row r="46">
          <cell r="G46">
            <v>0.4417317380725445</v>
          </cell>
        </row>
        <row r="47">
          <cell r="G47">
            <v>-0.043333061675404995</v>
          </cell>
        </row>
        <row r="48">
          <cell r="G48">
            <v>0.009110352635713538</v>
          </cell>
        </row>
        <row r="49">
          <cell r="G49">
            <v>0.05947993965533298</v>
          </cell>
        </row>
        <row r="50">
          <cell r="G50">
            <v>0.07580884329200932</v>
          </cell>
        </row>
        <row r="51">
          <cell r="G51">
            <v>-0.03808660839078009</v>
          </cell>
        </row>
        <row r="52">
          <cell r="G52" t="str">
            <v>NA</v>
          </cell>
        </row>
        <row r="53">
          <cell r="G53" t="str">
            <v>NA</v>
          </cell>
        </row>
        <row r="54">
          <cell r="G54">
            <v>-0.4876536236211196</v>
          </cell>
        </row>
        <row r="55">
          <cell r="G55" t="str">
            <v>NA</v>
          </cell>
        </row>
        <row r="56">
          <cell r="G56" t="str">
            <v>NA</v>
          </cell>
        </row>
        <row r="57">
          <cell r="G57">
            <v>0.21061965645928474</v>
          </cell>
        </row>
        <row r="58">
          <cell r="G58">
            <v>0.08529376994916657</v>
          </cell>
        </row>
        <row r="59">
          <cell r="G59">
            <v>0.03662640621879692</v>
          </cell>
        </row>
        <row r="60">
          <cell r="G60">
            <v>-0.006332905998941904</v>
          </cell>
        </row>
        <row r="61">
          <cell r="G61">
            <v>0.10222379718293853</v>
          </cell>
        </row>
        <row r="62">
          <cell r="G62">
            <v>0.1408270222520173</v>
          </cell>
        </row>
        <row r="63">
          <cell r="G63">
            <v>0.1138549375017322</v>
          </cell>
        </row>
        <row r="64">
          <cell r="G64">
            <v>0.044640177808848894</v>
          </cell>
        </row>
        <row r="65">
          <cell r="G65">
            <v>0.09212502128581822</v>
          </cell>
        </row>
        <row r="66">
          <cell r="G66">
            <v>-0.014195930207005669</v>
          </cell>
        </row>
        <row r="67">
          <cell r="G67">
            <v>0.13284204087902735</v>
          </cell>
        </row>
        <row r="68">
          <cell r="G68">
            <v>0.09521981838217983</v>
          </cell>
        </row>
        <row r="69">
          <cell r="G69">
            <v>0.0778088695351433</v>
          </cell>
        </row>
        <row r="70">
          <cell r="G70">
            <v>0.0905243109638939</v>
          </cell>
        </row>
        <row r="71">
          <cell r="G71">
            <v>0.008892282657817024</v>
          </cell>
        </row>
        <row r="72">
          <cell r="G72">
            <v>-0.008301545628439029</v>
          </cell>
        </row>
        <row r="73">
          <cell r="G73">
            <v>0.05374941366655192</v>
          </cell>
        </row>
        <row r="74">
          <cell r="G74">
            <v>0.04602235769283132</v>
          </cell>
        </row>
        <row r="75">
          <cell r="G75">
            <v>0.053465903761373224</v>
          </cell>
        </row>
        <row r="76">
          <cell r="G76">
            <v>0.12020015338387458</v>
          </cell>
        </row>
        <row r="77">
          <cell r="G77">
            <v>-0.011093363069674457</v>
          </cell>
        </row>
        <row r="78">
          <cell r="G78">
            <v>0.5253081492105156</v>
          </cell>
        </row>
        <row r="79">
          <cell r="G79">
            <v>-0.04600702697802356</v>
          </cell>
        </row>
        <row r="80">
          <cell r="G80">
            <v>0.010376902371966487</v>
          </cell>
        </row>
        <row r="81">
          <cell r="G81">
            <v>-0.059751866129478165</v>
          </cell>
        </row>
        <row r="82">
          <cell r="G82">
            <v>0.07310839876358739</v>
          </cell>
        </row>
        <row r="83">
          <cell r="G83">
            <v>0.04204318504470096</v>
          </cell>
        </row>
        <row r="84">
          <cell r="G84">
            <v>0.1007858646810109</v>
          </cell>
        </row>
        <row r="85">
          <cell r="G85">
            <v>1.6915868678801125</v>
          </cell>
        </row>
        <row r="86">
          <cell r="G86">
            <v>0.07987307923591654</v>
          </cell>
        </row>
        <row r="87">
          <cell r="G87">
            <v>0.2408264302355682</v>
          </cell>
        </row>
        <row r="88">
          <cell r="G88">
            <v>0.1907232568211347</v>
          </cell>
        </row>
        <row r="89">
          <cell r="G89">
            <v>0.1858403818158365</v>
          </cell>
        </row>
        <row r="90">
          <cell r="G90">
            <v>0.1459819009920496</v>
          </cell>
        </row>
        <row r="91">
          <cell r="G91">
            <v>-0.03337435179056811</v>
          </cell>
        </row>
        <row r="92">
          <cell r="G92">
            <v>-0.01685730341125618</v>
          </cell>
        </row>
        <row r="93">
          <cell r="G93">
            <v>0.20208078572953667</v>
          </cell>
        </row>
        <row r="94">
          <cell r="G94" t="str">
            <v>NA</v>
          </cell>
        </row>
        <row r="95">
          <cell r="G95">
            <v>0.0888971720864227</v>
          </cell>
        </row>
        <row r="96">
          <cell r="G96">
            <v>0.006220806587878847</v>
          </cell>
        </row>
        <row r="97">
          <cell r="G97">
            <v>0.0737059116601096</v>
          </cell>
        </row>
        <row r="98">
          <cell r="G98">
            <v>0.049930155091514744</v>
          </cell>
        </row>
        <row r="99">
          <cell r="G99">
            <v>0.22853206365868745</v>
          </cell>
        </row>
        <row r="100">
          <cell r="G100">
            <v>0.04942466599737431</v>
          </cell>
        </row>
        <row r="101">
          <cell r="G101">
            <v>0.014360064506670576</v>
          </cell>
        </row>
        <row r="102">
          <cell r="G102">
            <v>0.0964789630374989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F22"/>
  <sheetViews>
    <sheetView workbookViewId="0" topLeftCell="A1">
      <selection activeCell="A1" sqref="A1:F1"/>
    </sheetView>
  </sheetViews>
  <sheetFormatPr defaultColWidth="11.00390625" defaultRowHeight="12.75"/>
  <cols>
    <col min="1" max="1" width="12.875" style="121" bestFit="1" customWidth="1"/>
    <col min="2" max="2" width="65.125" style="4" bestFit="1" customWidth="1"/>
  </cols>
  <sheetData>
    <row r="1" spans="1:6" s="108" customFormat="1" ht="18">
      <c r="A1" s="139" t="s">
        <v>394</v>
      </c>
      <c r="B1" s="139"/>
      <c r="C1" s="139"/>
      <c r="D1" s="139"/>
      <c r="E1" s="139"/>
      <c r="F1" s="139"/>
    </row>
    <row r="2" spans="1:2" ht="12.75">
      <c r="A2" s="121" t="s">
        <v>161</v>
      </c>
      <c r="B2" s="4" t="s">
        <v>86</v>
      </c>
    </row>
    <row r="3" ht="12.75">
      <c r="B3" s="4" t="s">
        <v>87</v>
      </c>
    </row>
    <row r="4" spans="1:2" ht="12.75">
      <c r="A4" s="121" t="s">
        <v>369</v>
      </c>
      <c r="B4" s="4" t="s">
        <v>349</v>
      </c>
    </row>
    <row r="5" ht="12.75">
      <c r="B5" s="4" t="s">
        <v>3</v>
      </c>
    </row>
    <row r="6" spans="1:2" ht="12.75">
      <c r="A6" s="121" t="s">
        <v>85</v>
      </c>
      <c r="B6" s="4" t="s">
        <v>4</v>
      </c>
    </row>
    <row r="7" ht="12.75">
      <c r="B7" s="4" t="s">
        <v>399</v>
      </c>
    </row>
    <row r="8" ht="12.75">
      <c r="B8" s="4" t="s">
        <v>216</v>
      </c>
    </row>
    <row r="9" ht="12.75">
      <c r="B9" s="4" t="s">
        <v>400</v>
      </c>
    </row>
    <row r="10" ht="12.75">
      <c r="B10" s="4" t="s">
        <v>125</v>
      </c>
    </row>
    <row r="11" ht="12.75">
      <c r="B11" s="4" t="s">
        <v>47</v>
      </c>
    </row>
    <row r="12" spans="1:2" ht="12.75">
      <c r="A12" s="121" t="s">
        <v>233</v>
      </c>
      <c r="B12" s="4" t="s">
        <v>392</v>
      </c>
    </row>
    <row r="13" ht="12.75">
      <c r="B13" s="4" t="s">
        <v>172</v>
      </c>
    </row>
    <row r="14" ht="12.75">
      <c r="B14" s="4" t="s">
        <v>291</v>
      </c>
    </row>
    <row r="15" ht="12.75">
      <c r="B15" s="4" t="s">
        <v>160</v>
      </c>
    </row>
    <row r="16" ht="12.75">
      <c r="B16" s="4" t="s">
        <v>264</v>
      </c>
    </row>
    <row r="17" spans="1:2" ht="12.75">
      <c r="A17" s="121" t="s">
        <v>126</v>
      </c>
      <c r="B17" s="4" t="s">
        <v>167</v>
      </c>
    </row>
    <row r="18" ht="12.75">
      <c r="B18" s="4" t="s">
        <v>162</v>
      </c>
    </row>
    <row r="19" ht="12.75">
      <c r="B19" s="4" t="s">
        <v>163</v>
      </c>
    </row>
    <row r="20" ht="12.75">
      <c r="B20" s="4" t="s">
        <v>164</v>
      </c>
    </row>
    <row r="21" ht="12.75">
      <c r="B21" s="4" t="s">
        <v>113</v>
      </c>
    </row>
    <row r="22" spans="1:2" ht="12.75">
      <c r="A22" s="121" t="s">
        <v>279</v>
      </c>
      <c r="B22" s="4" t="s">
        <v>351</v>
      </c>
    </row>
  </sheetData>
  <mergeCells count="1">
    <mergeCell ref="A1:F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R102"/>
  <sheetViews>
    <sheetView tabSelected="1" workbookViewId="0" topLeftCell="A1">
      <selection activeCell="A1" sqref="A1:R102"/>
    </sheetView>
  </sheetViews>
  <sheetFormatPr defaultColWidth="11.00390625" defaultRowHeight="12.75"/>
  <cols>
    <col min="1" max="1" width="18.75390625" style="4" customWidth="1"/>
    <col min="2" max="2" width="9.25390625" style="9" customWidth="1"/>
    <col min="3" max="3" width="10.625" style="9" customWidth="1"/>
    <col min="4" max="4" width="8.875" style="9" customWidth="1"/>
    <col min="5" max="5" width="13.875" style="9" customWidth="1"/>
    <col min="6" max="6" width="12.75390625" style="9" customWidth="1"/>
    <col min="7" max="8" width="7.875" style="9" bestFit="1" customWidth="1"/>
    <col min="9" max="9" width="17.625" style="9" customWidth="1"/>
    <col min="10" max="10" width="18.625" style="9" customWidth="1"/>
    <col min="11" max="11" width="8.75390625" style="9" customWidth="1"/>
    <col min="12" max="12" width="14.375" style="9" customWidth="1"/>
    <col min="13" max="13" width="25.25390625" style="9" customWidth="1"/>
    <col min="14" max="14" width="13.00390625" style="9" customWidth="1"/>
    <col min="15" max="15" width="9.75390625" style="9" customWidth="1"/>
    <col min="16" max="16" width="9.25390625" style="9" customWidth="1"/>
  </cols>
  <sheetData>
    <row r="1" spans="1:18" s="19" customFormat="1" ht="12.75">
      <c r="A1" s="132" t="str">
        <f>'[1]Master'!A1</f>
        <v>Industry</v>
      </c>
      <c r="B1" s="133" t="s">
        <v>55</v>
      </c>
      <c r="C1" s="132" t="s">
        <v>271</v>
      </c>
      <c r="D1" s="132" t="s">
        <v>409</v>
      </c>
      <c r="E1" s="132" t="s">
        <v>272</v>
      </c>
      <c r="F1" s="132" t="s">
        <v>273</v>
      </c>
      <c r="G1" s="132" t="s">
        <v>275</v>
      </c>
      <c r="H1" s="132" t="s">
        <v>147</v>
      </c>
      <c r="I1" s="132" t="s">
        <v>274</v>
      </c>
      <c r="J1" s="132" t="s">
        <v>56</v>
      </c>
      <c r="K1" s="132" t="s">
        <v>57</v>
      </c>
      <c r="L1" s="132" t="s">
        <v>276</v>
      </c>
      <c r="M1" s="132" t="s">
        <v>26</v>
      </c>
      <c r="N1" s="132" t="s">
        <v>58</v>
      </c>
      <c r="O1" s="132" t="s">
        <v>59</v>
      </c>
      <c r="P1" s="132" t="s">
        <v>158</v>
      </c>
      <c r="Q1" s="134" t="s">
        <v>27</v>
      </c>
      <c r="R1" s="132" t="s">
        <v>60</v>
      </c>
    </row>
    <row r="2" spans="1:18" ht="12.75">
      <c r="A2" t="str">
        <f>'[1]Master'!A2</f>
        <v>Advertising</v>
      </c>
      <c r="B2" s="57">
        <f>'[1]Master'!B2</f>
        <v>34</v>
      </c>
      <c r="C2" s="142">
        <f>'[1]Betas'!C2</f>
        <v>1.1946153846153846</v>
      </c>
      <c r="D2" s="142">
        <f>'[1]Betas'!H2</f>
        <v>1.064799896339304</v>
      </c>
      <c r="E2" s="143">
        <f>'[1]Betas'!D2</f>
        <v>0.2535329437129089</v>
      </c>
      <c r="F2" s="143">
        <f>'[1]Debt Fundas'!C2</f>
        <v>0.20225471136159823</v>
      </c>
      <c r="G2" s="143">
        <f>'[1]roe'!E2</f>
        <v>0.07628946619891913</v>
      </c>
      <c r="H2" s="143">
        <f>'[1]roe'!C2</f>
        <v>0.0846879901828319</v>
      </c>
      <c r="I2" s="143">
        <f>'[1]Betas'!E2</f>
        <v>0.14856117647058822</v>
      </c>
      <c r="J2" s="143">
        <f>'[1]margins'!E2</f>
        <v>0.1519510599238487</v>
      </c>
      <c r="K2" s="143">
        <f>'[1]margins'!F2</f>
        <v>0.09351999913120994</v>
      </c>
      <c r="L2" s="143">
        <f>'[1]margins'!G2</f>
        <v>0.02401260123292639</v>
      </c>
      <c r="M2" s="143">
        <f>'[1]Cap Ex'!E2</f>
        <v>0.7605399100149974</v>
      </c>
      <c r="N2" s="143">
        <f>'[1]wc data'!G2</f>
        <v>-0.10663075667835127</v>
      </c>
      <c r="O2" s="143">
        <f>'[1]Div Fundas'!D2</f>
        <v>0.1921826938014603</v>
      </c>
      <c r="P2" s="143">
        <f>'[1]FundGREB'!D2</f>
        <v>-0.21124535215816348</v>
      </c>
      <c r="Q2" s="142">
        <f>'[1]Mgn &amp; ROC'!D2</f>
        <v>0.905560211394072</v>
      </c>
      <c r="R2" s="142">
        <f>'[1]ps'!H2</f>
        <v>2.129884110963375</v>
      </c>
    </row>
    <row r="3" spans="1:18" ht="12.75">
      <c r="A3" t="str">
        <f>'[1]Master'!A3</f>
        <v>Aerospace/Defense</v>
      </c>
      <c r="B3" s="57">
        <f>'[1]Master'!B3</f>
        <v>72</v>
      </c>
      <c r="C3" s="142">
        <f>'[1]Betas'!C3</f>
        <v>0.7879999999999999</v>
      </c>
      <c r="D3" s="142">
        <f>'[1]Betas'!H3</f>
        <v>0.6160009159399731</v>
      </c>
      <c r="E3" s="143">
        <f>'[1]Betas'!D3</f>
        <v>0.42590225119161657</v>
      </c>
      <c r="F3" s="143">
        <f>'[1]Debt Fundas'!C3</f>
        <v>0.2986896548032609</v>
      </c>
      <c r="G3" s="143">
        <f>'[1]roe'!E3</f>
        <v>0.12226141001667078</v>
      </c>
      <c r="H3" s="143">
        <f>'[1]roe'!C3</f>
        <v>0.1178144824403365</v>
      </c>
      <c r="I3" s="143">
        <f>'[1]Betas'!E3</f>
        <v>0.18310083333333332</v>
      </c>
      <c r="J3" s="143">
        <f>'[1]margins'!E3</f>
        <v>0.10699543506926686</v>
      </c>
      <c r="K3" s="143">
        <f>'[1]margins'!F3</f>
        <v>0.07706996247462083</v>
      </c>
      <c r="L3" s="143">
        <f>'[1]margins'!G3</f>
        <v>0.031824986694415594</v>
      </c>
      <c r="M3" s="143">
        <f>'[1]Cap Ex'!E3</f>
        <v>0.9277145774082987</v>
      </c>
      <c r="N3" s="143">
        <f>'[1]wc data'!G3</f>
        <v>0.02453259271632079</v>
      </c>
      <c r="O3" s="143">
        <f>'[1]Div Fundas'!D3</f>
        <v>0.30420165394402027</v>
      </c>
      <c r="P3" s="143">
        <f>'[1]FundGREB'!D3</f>
        <v>-0.006991504554222986</v>
      </c>
      <c r="Q3" s="142">
        <f>'[1]Mgn &amp; ROC'!D3</f>
        <v>1.5286692591699762</v>
      </c>
      <c r="R3" s="142">
        <f>'[1]ps'!H3</f>
        <v>1.1036580241751834</v>
      </c>
    </row>
    <row r="4" spans="1:18" ht="12.75">
      <c r="A4" t="str">
        <f>'[1]Master'!A4</f>
        <v>Air Transport</v>
      </c>
      <c r="B4" s="57">
        <f>'[1]Master'!B4</f>
        <v>43</v>
      </c>
      <c r="C4" s="142">
        <f>'[1]Betas'!C4</f>
        <v>1.3174193548387099</v>
      </c>
      <c r="D4" s="142">
        <f>'[1]Betas'!H4</f>
        <v>1.0512299242260723</v>
      </c>
      <c r="E4" s="143">
        <f>'[1]Betas'!D4</f>
        <v>0.5037216060249055</v>
      </c>
      <c r="F4" s="143">
        <f>'[1]Debt Fundas'!C4</f>
        <v>0.3349832868043279</v>
      </c>
      <c r="G4" s="143">
        <f>'[1]roe'!E4</f>
        <v>-0.06656051628965155</v>
      </c>
      <c r="H4" s="143">
        <f>'[1]roe'!C4</f>
        <v>0.10545829066004613</v>
      </c>
      <c r="I4" s="143">
        <f>'[1]Betas'!E4</f>
        <v>0.2257713953488372</v>
      </c>
      <c r="J4" s="143">
        <f>'[1]margins'!E4</f>
        <v>0.0947433965777601</v>
      </c>
      <c r="K4" s="143">
        <f>'[1]margins'!F4</f>
        <v>0.06416748999932237</v>
      </c>
      <c r="L4" s="143">
        <f>'[1]margins'!G4</f>
        <v>-0.01336380319393629</v>
      </c>
      <c r="M4" s="143">
        <f>'[1]Cap Ex'!E4</f>
        <v>1.1247272131317227</v>
      </c>
      <c r="N4" s="143">
        <f>'[1]wc data'!G4</f>
        <v>-0.10147719691239236</v>
      </c>
      <c r="O4" s="143" t="str">
        <f>'[1]Div Fundas'!D4</f>
        <v>NA</v>
      </c>
      <c r="P4" s="143">
        <f>'[1]FundGREB'!D4</f>
        <v>0.010722255975690544</v>
      </c>
      <c r="Q4" s="142">
        <f>'[1]Mgn &amp; ROC'!D4</f>
        <v>1.6434847406554285</v>
      </c>
      <c r="R4" s="142">
        <f>'[1]ps'!H4</f>
        <v>1.1468883444519307</v>
      </c>
    </row>
    <row r="5" spans="1:18" ht="12.75">
      <c r="A5" t="str">
        <f>'[1]Master'!A5</f>
        <v>Apparel</v>
      </c>
      <c r="B5" s="57">
        <f>'[1]Master'!B5</f>
        <v>59</v>
      </c>
      <c r="C5" s="142">
        <f>'[1]Betas'!C5</f>
        <v>0.8808571428571429</v>
      </c>
      <c r="D5" s="142">
        <f>'[1]Betas'!H5</f>
        <v>0.8427372189301486</v>
      </c>
      <c r="E5" s="143">
        <f>'[1]Betas'!D5</f>
        <v>0.14854341420386874</v>
      </c>
      <c r="F5" s="143">
        <f>'[1]Debt Fundas'!C5</f>
        <v>0.12933199769974213</v>
      </c>
      <c r="G5" s="143">
        <f>'[1]roe'!E5</f>
        <v>0.15860111971776977</v>
      </c>
      <c r="H5" s="143">
        <f>'[1]roe'!C5</f>
        <v>0.14321979101389742</v>
      </c>
      <c r="I5" s="143">
        <f>'[1]Betas'!E5</f>
        <v>0.23129389830508476</v>
      </c>
      <c r="J5" s="143">
        <f>'[1]margins'!E5</f>
        <v>0.1258860102634359</v>
      </c>
      <c r="K5" s="143">
        <f>'[1]margins'!F5</f>
        <v>0.08318598750740151</v>
      </c>
      <c r="L5" s="143">
        <f>'[1]margins'!G5</f>
        <v>0.03507157701640524</v>
      </c>
      <c r="M5" s="143">
        <f>'[1]Cap Ex'!E5</f>
        <v>1.0417510690974567</v>
      </c>
      <c r="N5" s="143">
        <f>'[1]wc data'!G5</f>
        <v>0.18061151037373302</v>
      </c>
      <c r="O5" s="143">
        <f>'[1]Div Fundas'!D5</f>
        <v>0.4577809477756286</v>
      </c>
      <c r="P5" s="143">
        <f>'[1]FundGREB'!D5</f>
        <v>0.05402138884525122</v>
      </c>
      <c r="Q5" s="142">
        <f>'[1]Mgn &amp; ROC'!D5</f>
        <v>1.721681683482502</v>
      </c>
      <c r="R5" s="142">
        <f>'[1]ps'!H5</f>
        <v>1.4678483937258362</v>
      </c>
    </row>
    <row r="6" spans="1:18" ht="12.75">
      <c r="A6" t="str">
        <f>'[1]Master'!A6</f>
        <v>Auto &amp; Truck</v>
      </c>
      <c r="B6" s="57">
        <f>'[1]Master'!B6</f>
        <v>21</v>
      </c>
      <c r="C6" s="142">
        <f>'[1]Betas'!C6</f>
        <v>0.9852941176470589</v>
      </c>
      <c r="D6" s="142">
        <f>'[1]Betas'!H6</f>
        <v>0.48693046058190786</v>
      </c>
      <c r="E6" s="143">
        <f>'[1]Betas'!D6</f>
        <v>1.6216216139732869</v>
      </c>
      <c r="F6" s="143">
        <f>'[1]Debt Fundas'!C6</f>
        <v>0.6185566999181028</v>
      </c>
      <c r="G6" s="143">
        <f>'[1]roe'!E6</f>
        <v>0.13602871672007139</v>
      </c>
      <c r="H6" s="143">
        <f>'[1]roe'!C6</f>
        <v>0.10687356662710769</v>
      </c>
      <c r="I6" s="143">
        <f>'[1]Betas'!E6</f>
        <v>0.22510523809523808</v>
      </c>
      <c r="J6" s="143">
        <f>'[1]margins'!E6</f>
        <v>0.13761609452451046</v>
      </c>
      <c r="K6" s="143">
        <f>'[1]margins'!F6</f>
        <v>0.09552607170448234</v>
      </c>
      <c r="L6" s="143">
        <f>'[1]margins'!G6</f>
        <v>0.012526605138953355</v>
      </c>
      <c r="M6" s="143">
        <f>'[1]Cap Ex'!E6</f>
        <v>0.7611997319705168</v>
      </c>
      <c r="N6" s="143">
        <f>'[1]wc data'!G6</f>
        <v>0.419226296638372</v>
      </c>
      <c r="O6" s="143">
        <f>'[1]Div Fundas'!D6</f>
        <v>0.2618356776026684</v>
      </c>
      <c r="P6" s="143">
        <f>'[1]FundGREB'!D6</f>
        <v>0.07614695984160909</v>
      </c>
      <c r="Q6" s="142">
        <f>'[1]Mgn &amp; ROC'!D6</f>
        <v>1.1187895065729254</v>
      </c>
      <c r="R6" s="142">
        <f>'[1]ps'!H6</f>
        <v>1.003854172721414</v>
      </c>
    </row>
    <row r="7" spans="1:18" ht="12.75">
      <c r="A7" t="str">
        <f>'[1]Master'!A7</f>
        <v>Auto Parts</v>
      </c>
      <c r="B7" s="57">
        <f>'[1]Master'!B7</f>
        <v>62</v>
      </c>
      <c r="C7" s="142">
        <f>'[1]Betas'!C7</f>
        <v>0.8988095238095238</v>
      </c>
      <c r="D7" s="142">
        <f>'[1]Betas'!H7</f>
        <v>0.6904798941626249</v>
      </c>
      <c r="E7" s="143">
        <f>'[1]Betas'!D7</f>
        <v>0.4621601540365201</v>
      </c>
      <c r="F7" s="143">
        <f>'[1]Debt Fundas'!C7</f>
        <v>0.3160803915772532</v>
      </c>
      <c r="G7" s="143">
        <f>'[1]roe'!E7</f>
        <v>0.1359852388709731</v>
      </c>
      <c r="H7" s="143">
        <f>'[1]roe'!C7</f>
        <v>0.27549906276339436</v>
      </c>
      <c r="I7" s="143">
        <f>'[1]Betas'!E7</f>
        <v>0.15</v>
      </c>
      <c r="J7" s="143">
        <f>'[1]margins'!E7</f>
        <v>0.0854820390272365</v>
      </c>
      <c r="K7" s="143">
        <f>'[1]margins'!F7</f>
        <v>0.10136819824574303</v>
      </c>
      <c r="L7" s="143">
        <f>'[1]margins'!G7</f>
        <v>0.020768353166367413</v>
      </c>
      <c r="M7" s="143">
        <f>'[1]Cap Ex'!E7</f>
        <v>1.1159801959338458</v>
      </c>
      <c r="N7" s="143">
        <f>'[1]wc data'!G7</f>
        <v>0.05661250038543369</v>
      </c>
      <c r="O7" s="143">
        <f>'[1]Div Fundas'!D7</f>
        <v>0.2951754150062343</v>
      </c>
      <c r="P7" s="143">
        <f>'[1]FundGREB'!D7</f>
        <v>0.05877801877081738</v>
      </c>
      <c r="Q7" s="142">
        <f>'[1]Mgn &amp; ROC'!D7</f>
        <v>2.717805658294454</v>
      </c>
      <c r="R7" s="142">
        <f>'[1]ps'!H7</f>
        <v>0.5605551905465568</v>
      </c>
    </row>
    <row r="8" spans="1:18" ht="12.75">
      <c r="A8" t="str">
        <f>'[1]Master'!A8</f>
        <v>Bank</v>
      </c>
      <c r="B8" s="57">
        <f>'[1]Master'!B8</f>
        <v>504</v>
      </c>
      <c r="C8" s="142">
        <f>'[1]Betas'!C8</f>
        <v>0.6208454810495626</v>
      </c>
      <c r="D8" s="142">
        <f>'[1]Betas'!H8</f>
        <v>0.4745015468765021</v>
      </c>
      <c r="E8" s="143">
        <f>'[1]Betas'!D8</f>
        <v>0.6914807999343858</v>
      </c>
      <c r="F8" s="143">
        <f>'[1]Debt Fundas'!C8</f>
        <v>0.40880203899518636</v>
      </c>
      <c r="G8" s="143">
        <f>'[1]roe'!E8</f>
        <v>0.126690519313185</v>
      </c>
      <c r="H8" s="143" t="str">
        <f>'[1]roe'!C8</f>
        <v>NA</v>
      </c>
      <c r="I8" s="143">
        <f>'[1]Betas'!E8</f>
        <v>0.2830099007936511</v>
      </c>
      <c r="J8" s="143" t="str">
        <f>'[1]margins'!E8</f>
        <v>NA</v>
      </c>
      <c r="K8" s="143" t="str">
        <f>'[1]margins'!F8</f>
        <v>NA</v>
      </c>
      <c r="L8" s="143" t="str">
        <f>'[1]margins'!G8</f>
        <v>NA</v>
      </c>
      <c r="M8" s="143" t="str">
        <f>'[1]Cap Ex'!E8</f>
        <v>NA</v>
      </c>
      <c r="N8" s="143" t="str">
        <f>'[1]wc data'!G8</f>
        <v>NA</v>
      </c>
      <c r="O8" s="143">
        <f>'[1]Div Fundas'!D8</f>
        <v>0.5556722686243183</v>
      </c>
      <c r="P8" s="143">
        <f>'[1]FundGREB'!D8</f>
        <v>4.198476620330488E-06</v>
      </c>
      <c r="Q8" s="142" t="str">
        <f>'[1]Mgn &amp; ROC'!D8</f>
        <v>NA</v>
      </c>
      <c r="R8" s="142" t="str">
        <f>'[1]ps'!H8</f>
        <v>NA</v>
      </c>
    </row>
    <row r="9" spans="1:18" ht="12.75">
      <c r="A9" t="str">
        <f>'[1]Master'!A9</f>
        <v>Bank (Canadian)</v>
      </c>
      <c r="B9" s="57">
        <f>'[1]Master'!B9</f>
        <v>7</v>
      </c>
      <c r="C9" s="142">
        <f>'[1]Betas'!C9</f>
        <v>0.8285714285714285</v>
      </c>
      <c r="D9" s="142">
        <f>'[1]Betas'!H9</f>
        <v>0.7807923001534688</v>
      </c>
      <c r="E9" s="143">
        <f>'[1]Betas'!D9</f>
        <v>0.15241058617909223</v>
      </c>
      <c r="F9" s="143">
        <f>'[1]Debt Fundas'!C9</f>
        <v>0.13225371929671478</v>
      </c>
      <c r="G9" s="143">
        <f>'[1]roe'!E9</f>
        <v>0.11826301575553465</v>
      </c>
      <c r="H9" s="143" t="str">
        <f>'[1]roe'!C9</f>
        <v>NA</v>
      </c>
      <c r="I9" s="143">
        <f>'[1]Betas'!E9</f>
        <v>0.20842714285714287</v>
      </c>
      <c r="J9" s="143" t="str">
        <f>'[1]margins'!E9</f>
        <v>NA</v>
      </c>
      <c r="K9" s="143" t="str">
        <f>'[1]margins'!F9</f>
        <v>NA</v>
      </c>
      <c r="L9" s="143" t="str">
        <f>'[1]margins'!G9</f>
        <v>NA</v>
      </c>
      <c r="M9" s="143" t="str">
        <f>'[1]Cap Ex'!E9</f>
        <v>NA</v>
      </c>
      <c r="N9" s="143" t="str">
        <f>'[1]wc data'!G9</f>
        <v>NA</v>
      </c>
      <c r="O9" s="143">
        <f>'[1]Div Fundas'!D9</f>
        <v>0.0007507453480004112</v>
      </c>
      <c r="P9" s="143">
        <f>'[1]FundGREB'!D9</f>
        <v>0</v>
      </c>
      <c r="Q9" s="142" t="str">
        <f>'[1]Mgn &amp; ROC'!D9</f>
        <v>NA</v>
      </c>
      <c r="R9" s="142" t="str">
        <f>'[1]ps'!H9</f>
        <v>NA</v>
      </c>
    </row>
    <row r="10" spans="1:18" ht="12.75">
      <c r="A10" t="str">
        <f>'[1]Master'!A10</f>
        <v>Bank (Foreign)</v>
      </c>
      <c r="B10" s="57">
        <f>'[1]Master'!B10</f>
        <v>4</v>
      </c>
      <c r="C10" s="142">
        <f>'[1]Betas'!C10</f>
        <v>1.18</v>
      </c>
      <c r="D10" s="142">
        <f>'[1]Betas'!H10</f>
        <v>0.7248998599078417</v>
      </c>
      <c r="E10" s="143">
        <f>'[1]Betas'!D10</f>
        <v>1.2894736442789467</v>
      </c>
      <c r="F10" s="143">
        <f>'[1]Debt Fundas'!C10</f>
        <v>0.5632183831865236</v>
      </c>
      <c r="G10" s="143">
        <f>'[1]roe'!E10</f>
        <v>0.16108311884384863</v>
      </c>
      <c r="H10" s="143" t="str">
        <f>'[1]roe'!C10</f>
        <v>NA</v>
      </c>
      <c r="I10" s="143">
        <f>'[1]Betas'!E10</f>
        <v>0.1750775</v>
      </c>
      <c r="J10" s="143" t="str">
        <f>'[1]margins'!E10</f>
        <v>NA</v>
      </c>
      <c r="K10" s="143" t="str">
        <f>'[1]margins'!F10</f>
        <v>NA</v>
      </c>
      <c r="L10" s="143" t="str">
        <f>'[1]margins'!G10</f>
        <v>NA</v>
      </c>
      <c r="M10" s="143" t="str">
        <f>'[1]Cap Ex'!E10</f>
        <v>NA</v>
      </c>
      <c r="N10" s="143" t="str">
        <f>'[1]wc data'!G10</f>
        <v>NA</v>
      </c>
      <c r="O10" s="143">
        <f>'[1]Div Fundas'!D10</f>
        <v>0.6422367139529961</v>
      </c>
      <c r="P10" s="143">
        <f>'[1]FundGREB'!D10</f>
        <v>0</v>
      </c>
      <c r="Q10" s="142" t="str">
        <f>'[1]Mgn &amp; ROC'!D10</f>
        <v>NA</v>
      </c>
      <c r="R10" s="142" t="str">
        <f>'[1]ps'!H10</f>
        <v>NA</v>
      </c>
    </row>
    <row r="11" spans="1:18" ht="12.75">
      <c r="A11" t="str">
        <f>'[1]Master'!A11</f>
        <v>Bank (Midwest)</v>
      </c>
      <c r="B11" s="57">
        <f>'[1]Master'!B11</f>
        <v>43</v>
      </c>
      <c r="C11" s="142">
        <f>'[1]Betas'!C11</f>
        <v>0.7302631578947367</v>
      </c>
      <c r="D11" s="142">
        <f>'[1]Betas'!H11</f>
        <v>0.6042762502016052</v>
      </c>
      <c r="E11" s="143">
        <f>'[1]Betas'!D11</f>
        <v>0.5728922409847815</v>
      </c>
      <c r="F11" s="143">
        <f>'[1]Debt Fundas'!C11</f>
        <v>0.36422853775799413</v>
      </c>
      <c r="G11" s="143">
        <f>'[1]roe'!E11</f>
        <v>0.16713499054114303</v>
      </c>
      <c r="H11" s="143" t="str">
        <f>'[1]roe'!C11</f>
        <v>NA</v>
      </c>
      <c r="I11" s="143">
        <f>'[1]Betas'!E11</f>
        <v>0.3187981395348837</v>
      </c>
      <c r="J11" s="143" t="str">
        <f>'[1]margins'!E11</f>
        <v>NA</v>
      </c>
      <c r="K11" s="143" t="str">
        <f>'[1]margins'!F11</f>
        <v>NA</v>
      </c>
      <c r="L11" s="143" t="str">
        <f>'[1]margins'!G11</f>
        <v>NA</v>
      </c>
      <c r="M11" s="143" t="str">
        <f>'[1]Cap Ex'!E11</f>
        <v>NA</v>
      </c>
      <c r="N11" s="143" t="str">
        <f>'[1]wc data'!G11</f>
        <v>NA</v>
      </c>
      <c r="O11" s="143">
        <f>'[1]Div Fundas'!D11</f>
        <v>0.4222138752910812</v>
      </c>
      <c r="P11" s="143">
        <f>'[1]FundGREB'!D11</f>
        <v>0</v>
      </c>
      <c r="Q11" s="142" t="str">
        <f>'[1]Mgn &amp; ROC'!D11</f>
        <v>NA</v>
      </c>
      <c r="R11" s="142" t="str">
        <f>'[1]ps'!H11</f>
        <v>NA</v>
      </c>
    </row>
    <row r="12" spans="1:18" ht="12.75">
      <c r="A12" t="str">
        <f>'[1]Master'!A12</f>
        <v>Beverage (Alcoholic)</v>
      </c>
      <c r="B12" s="57">
        <f>'[1]Master'!B12</f>
        <v>24</v>
      </c>
      <c r="C12" s="142">
        <f>'[1]Betas'!C12</f>
        <v>0.5666666666666667</v>
      </c>
      <c r="D12" s="142">
        <f>'[1]Betas'!H12</f>
        <v>0.5098881160788789</v>
      </c>
      <c r="E12" s="143">
        <f>'[1]Betas'!D12</f>
        <v>0.20507258494788058</v>
      </c>
      <c r="F12" s="143">
        <f>'[1]Debt Fundas'!C12</f>
        <v>0.17017446708967326</v>
      </c>
      <c r="G12" s="143">
        <f>'[1]roe'!E12</f>
        <v>0.3025869627219622</v>
      </c>
      <c r="H12" s="143">
        <f>'[1]roe'!C12</f>
        <v>0.18285741873257277</v>
      </c>
      <c r="I12" s="143">
        <f>'[1]Betas'!E12</f>
        <v>0.39626875</v>
      </c>
      <c r="J12" s="143">
        <f>'[1]margins'!E12</f>
        <v>0.22855872678004782</v>
      </c>
      <c r="K12" s="143">
        <f>'[1]margins'!F12</f>
        <v>0.14566852144614398</v>
      </c>
      <c r="L12" s="143">
        <f>'[1]margins'!G12</f>
        <v>0.02598495382750383</v>
      </c>
      <c r="M12" s="143">
        <f>'[1]Cap Ex'!E12</f>
        <v>1.0329138431752178</v>
      </c>
      <c r="N12" s="143">
        <f>'[1]wc data'!G12</f>
        <v>0.05521446143972617</v>
      </c>
      <c r="O12" s="143">
        <f>'[1]Div Fundas'!D12</f>
        <v>0.31191691394658755</v>
      </c>
      <c r="P12" s="143">
        <f>'[1]FundGREB'!D12</f>
        <v>0.024285502614694508</v>
      </c>
      <c r="Q12" s="142">
        <f>'[1]Mgn &amp; ROC'!D12</f>
        <v>1.2552981036481388</v>
      </c>
      <c r="R12" s="142">
        <f>'[1]ps'!H12</f>
        <v>2.6678860484187257</v>
      </c>
    </row>
    <row r="13" spans="1:18" ht="12.75">
      <c r="A13" t="str">
        <f>'[1]Master'!A13</f>
        <v>Beverage (Soft Drink)</v>
      </c>
      <c r="B13" s="57">
        <f>'[1]Master'!B13</f>
        <v>17</v>
      </c>
      <c r="C13" s="142">
        <f>'[1]Betas'!C13</f>
        <v>0.5909090909090909</v>
      </c>
      <c r="D13" s="142">
        <f>'[1]Betas'!H13</f>
        <v>0.546322819479366</v>
      </c>
      <c r="E13" s="143">
        <f>'[1]Betas'!D13</f>
        <v>0.1342089910817803</v>
      </c>
      <c r="F13" s="143">
        <f>'[1]Debt Fundas'!C13</f>
        <v>0.11832827295239046</v>
      </c>
      <c r="G13" s="143">
        <f>'[1]roe'!E13</f>
        <v>0.26946846592638085</v>
      </c>
      <c r="H13" s="143">
        <f>'[1]roe'!C13</f>
        <v>0.1932818076019367</v>
      </c>
      <c r="I13" s="143">
        <f>'[1]Betas'!E13</f>
        <v>0.22185529411764704</v>
      </c>
      <c r="J13" s="143">
        <f>'[1]margins'!E13</f>
        <v>0.21769272288311833</v>
      </c>
      <c r="K13" s="143">
        <f>'[1]margins'!F13</f>
        <v>0.15150071388162606</v>
      </c>
      <c r="L13" s="143">
        <f>'[1]margins'!G13</f>
        <v>0.05183143032437471</v>
      </c>
      <c r="M13" s="143">
        <f>'[1]Cap Ex'!E13</f>
        <v>1.176980198019802</v>
      </c>
      <c r="N13" s="143">
        <f>'[1]wc data'!G13</f>
        <v>-0.001478621455833156</v>
      </c>
      <c r="O13" s="143">
        <f>'[1]Div Fundas'!D13</f>
        <v>0.385290427890933</v>
      </c>
      <c r="P13" s="143">
        <f>'[1]FundGREB'!D13</f>
        <v>0.05438977215400831</v>
      </c>
      <c r="Q13" s="142">
        <f>'[1]Mgn &amp; ROC'!D13</f>
        <v>1.275781497326514</v>
      </c>
      <c r="R13" s="142">
        <f>'[1]ps'!H13</f>
        <v>3.0818671380649976</v>
      </c>
    </row>
    <row r="14" spans="1:18" ht="12.75">
      <c r="A14" t="str">
        <f>'[1]Master'!A14</f>
        <v>Biotechnology</v>
      </c>
      <c r="B14" s="57">
        <f>'[1]Master'!B14</f>
        <v>84</v>
      </c>
      <c r="C14" s="142">
        <f>'[1]Betas'!C14</f>
        <v>1.2042857142857142</v>
      </c>
      <c r="D14" s="142">
        <f>'[1]Betas'!H14</f>
        <v>1.2589891258034482</v>
      </c>
      <c r="E14" s="143">
        <f>'[1]Betas'!D14</f>
        <v>0.039208692993858534</v>
      </c>
      <c r="F14" s="143">
        <f>'[1]Debt Fundas'!C14</f>
        <v>0.037729373568750786</v>
      </c>
      <c r="G14" s="143">
        <f>'[1]roe'!E14</f>
        <v>0.004930895908608498</v>
      </c>
      <c r="H14" s="143">
        <f>'[1]roe'!C14</f>
        <v>0.04467348064676393</v>
      </c>
      <c r="I14" s="143">
        <f>'[1]Betas'!E14</f>
        <v>0.052687499999999984</v>
      </c>
      <c r="J14" s="143">
        <f>'[1]margins'!E14</f>
        <v>0.2081270271594224</v>
      </c>
      <c r="K14" s="143">
        <f>'[1]margins'!F14</f>
        <v>0.12459379574098828</v>
      </c>
      <c r="L14" s="143">
        <f>'[1]margins'!G14</f>
        <v>0.08340273063815194</v>
      </c>
      <c r="M14" s="143">
        <f>'[1]Cap Ex'!E14</f>
        <v>1.4656263932233615</v>
      </c>
      <c r="N14" s="143">
        <f>'[1]wc data'!G14</f>
        <v>0.05226841711162585</v>
      </c>
      <c r="O14" s="143">
        <f>'[1]Div Fundas'!D14</f>
        <v>0</v>
      </c>
      <c r="P14" s="143">
        <f>'[1]FundGREB'!D14</f>
        <v>0.32290236641928816</v>
      </c>
      <c r="Q14" s="142">
        <f>'[1]Mgn &amp; ROC'!D14</f>
        <v>0.3585530112561412</v>
      </c>
      <c r="R14" s="142">
        <f>'[1]ps'!H14</f>
        <v>10.79467028698993</v>
      </c>
    </row>
    <row r="15" spans="1:18" ht="12.75">
      <c r="A15" t="str">
        <f>'[1]Master'!A15</f>
        <v>Building Materials</v>
      </c>
      <c r="B15" s="57">
        <f>'[1]Master'!B15</f>
        <v>48</v>
      </c>
      <c r="C15" s="142">
        <f>'[1]Betas'!C15</f>
        <v>0.8</v>
      </c>
      <c r="D15" s="142">
        <f>'[1]Betas'!H15</f>
        <v>0.7096182840357734</v>
      </c>
      <c r="E15" s="143">
        <f>'[1]Betas'!D15</f>
        <v>0.4352879749621305</v>
      </c>
      <c r="F15" s="143">
        <f>'[1]Debt Fundas'!C15</f>
        <v>0.30327570672611215</v>
      </c>
      <c r="G15" s="143">
        <f>'[1]roe'!E15</f>
        <v>-0.020747332346755975</v>
      </c>
      <c r="H15" s="143">
        <f>'[1]roe'!C15</f>
        <v>0.04883009955100467</v>
      </c>
      <c r="I15" s="143">
        <f>'[1]Betas'!E15</f>
        <v>0.41233416666666667</v>
      </c>
      <c r="J15" s="143">
        <f>'[1]margins'!E15</f>
        <v>0.09897806669439993</v>
      </c>
      <c r="K15" s="143">
        <f>'[1]margins'!F15</f>
        <v>0.020743535452221455</v>
      </c>
      <c r="L15" s="143">
        <f>'[1]margins'!G15</f>
        <v>-0.011313088072580519</v>
      </c>
      <c r="M15" s="143">
        <f>'[1]Cap Ex'!E15</f>
        <v>1.0142105581423475</v>
      </c>
      <c r="N15" s="143">
        <f>'[1]wc data'!G15</f>
        <v>0.0860046709210138</v>
      </c>
      <c r="O15" s="143" t="str">
        <f>'[1]Div Fundas'!D15</f>
        <v>NA</v>
      </c>
      <c r="P15" s="143">
        <f>'[1]FundGREB'!D15</f>
        <v>0.3505948713456701</v>
      </c>
      <c r="Q15" s="142">
        <f>'[1]Mgn &amp; ROC'!D15</f>
        <v>2.353991182625302</v>
      </c>
      <c r="R15" s="142">
        <f>'[1]ps'!H15</f>
        <v>0.7326700372327295</v>
      </c>
    </row>
    <row r="16" spans="1:18" ht="12.75">
      <c r="A16" t="str">
        <f>'[1]Master'!A16</f>
        <v>Cable TV</v>
      </c>
      <c r="B16" s="57">
        <f>'[1]Master'!B16</f>
        <v>24</v>
      </c>
      <c r="C16" s="142">
        <f>'[1]Betas'!C16</f>
        <v>1.7133333333333332</v>
      </c>
      <c r="D16" s="142">
        <f>'[1]Betas'!H16</f>
        <v>1.0942373262466165</v>
      </c>
      <c r="E16" s="143">
        <f>'[1]Betas'!D16</f>
        <v>0.6921850320425759</v>
      </c>
      <c r="F16" s="143">
        <f>'[1]Debt Fundas'!C16</f>
        <v>0.4090480762656694</v>
      </c>
      <c r="G16" s="143">
        <f>'[1]roe'!E16</f>
        <v>-0.05494953742640875</v>
      </c>
      <c r="H16" s="143">
        <f>'[1]roe'!C16</f>
        <v>0.0647308015902902</v>
      </c>
      <c r="I16" s="143">
        <f>'[1]Betas'!E16</f>
        <v>0.10072749999999998</v>
      </c>
      <c r="J16" s="143">
        <f>'[1]margins'!E16</f>
        <v>0.2669195077543669</v>
      </c>
      <c r="K16" s="143">
        <f>'[1]margins'!F16</f>
        <v>0.1921776285904635</v>
      </c>
      <c r="L16" s="143">
        <f>'[1]margins'!G16</f>
        <v>-0.020385254230069542</v>
      </c>
      <c r="M16" s="143">
        <f>'[1]Cap Ex'!E16</f>
        <v>1.2462759912773733</v>
      </c>
      <c r="N16" s="143">
        <f>'[1]wc data'!G16</f>
        <v>-0.17254455186512452</v>
      </c>
      <c r="O16" s="143" t="str">
        <f>'[1]Div Fundas'!D16</f>
        <v>NA</v>
      </c>
      <c r="P16" s="143">
        <f>'[1]FundGREB'!D16</f>
        <v>0.09823607286862357</v>
      </c>
      <c r="Q16" s="142">
        <f>'[1]Mgn &amp; ROC'!D16</f>
        <v>0.3368279755820775</v>
      </c>
      <c r="R16" s="142">
        <f>'[1]ps'!H16</f>
        <v>4.44431092912466</v>
      </c>
    </row>
    <row r="17" spans="1:18" ht="12.75">
      <c r="A17" t="str">
        <f>'[1]Master'!A17</f>
        <v>Canadian Energy</v>
      </c>
      <c r="B17" s="57">
        <f>'[1]Master'!B17</f>
        <v>10</v>
      </c>
      <c r="C17" s="142">
        <f>'[1]Betas'!C17</f>
        <v>0.655</v>
      </c>
      <c r="D17" s="142">
        <f>'[1]Betas'!H17</f>
        <v>0.5610438005225976</v>
      </c>
      <c r="E17" s="143">
        <f>'[1]Betas'!D17</f>
        <v>0.28385905484486645</v>
      </c>
      <c r="F17" s="143">
        <f>'[1]Debt Fundas'!C17</f>
        <v>0.22109830029525027</v>
      </c>
      <c r="G17" s="143">
        <f>'[1]roe'!E17</f>
        <v>0.13861306396886514</v>
      </c>
      <c r="H17" s="143">
        <f>'[1]roe'!C17</f>
        <v>0.15553443670774136</v>
      </c>
      <c r="I17" s="143">
        <f>'[1]Betas'!E17</f>
        <v>0.369741</v>
      </c>
      <c r="J17" s="143">
        <f>'[1]margins'!E17</f>
        <v>0.31606458998064285</v>
      </c>
      <c r="K17" s="143">
        <f>'[1]margins'!F17</f>
        <v>0.19899075276382291</v>
      </c>
      <c r="L17" s="143">
        <f>'[1]margins'!G17</f>
        <v>0.10480089446322699</v>
      </c>
      <c r="M17" s="143">
        <f>'[1]Cap Ex'!E17</f>
        <v>2.0616616335416813</v>
      </c>
      <c r="N17" s="143">
        <f>'[1]wc data'!G17</f>
        <v>0.0018691695410932106</v>
      </c>
      <c r="O17" s="143">
        <f>'[1]Div Fundas'!D17</f>
        <v>0.2025119487189099</v>
      </c>
      <c r="P17" s="143">
        <f>'[1]FundGREB'!D17</f>
        <v>0.7235405189173072</v>
      </c>
      <c r="Q17" s="142">
        <f>'[1]Mgn &amp; ROC'!D17</f>
        <v>0.781616404518763</v>
      </c>
      <c r="R17" s="142">
        <f>'[1]ps'!H17</f>
        <v>2.452262969146343</v>
      </c>
    </row>
    <row r="18" spans="1:18" ht="12.75">
      <c r="A18" t="str">
        <f>'[1]Master'!A18</f>
        <v>Cement &amp; Aggregates</v>
      </c>
      <c r="B18" s="57">
        <f>'[1]Master'!B18</f>
        <v>14</v>
      </c>
      <c r="C18" s="142">
        <f>'[1]Betas'!C18</f>
        <v>0.7772727272727272</v>
      </c>
      <c r="D18" s="142">
        <f>'[1]Betas'!H18</f>
        <v>0.6716737393297023</v>
      </c>
      <c r="E18" s="143">
        <f>'[1]Betas'!D18</f>
        <v>0.25349423559230705</v>
      </c>
      <c r="F18" s="143">
        <f>'[1]Debt Fundas'!C18</f>
        <v>0.2022300768479599</v>
      </c>
      <c r="G18" s="143">
        <f>'[1]roe'!E18</f>
        <v>0.09791210089106442</v>
      </c>
      <c r="H18" s="143">
        <f>'[1]roe'!C18</f>
        <v>0.13543441630360614</v>
      </c>
      <c r="I18" s="143">
        <f>'[1]Betas'!E18</f>
        <v>0.22201357142857145</v>
      </c>
      <c r="J18" s="143">
        <f>'[1]margins'!E18</f>
        <v>0.1823784745919803</v>
      </c>
      <c r="K18" s="143">
        <f>'[1]margins'!F18</f>
        <v>0.1304396281691565</v>
      </c>
      <c r="L18" s="143">
        <f>'[1]margins'!G18</f>
        <v>0.057219652351221326</v>
      </c>
      <c r="M18" s="143">
        <f>'[1]Cap Ex'!E18</f>
        <v>1.0220770443793648</v>
      </c>
      <c r="N18" s="143">
        <f>'[1]wc data'!G18</f>
        <v>0.1351162340014998</v>
      </c>
      <c r="O18" s="143">
        <f>'[1]Div Fundas'!D18</f>
        <v>0.3175794129473261</v>
      </c>
      <c r="P18" s="143">
        <f>'[1]FundGREB'!D18</f>
        <v>0.10536952015177137</v>
      </c>
      <c r="Q18" s="142">
        <f>'[1]Mgn &amp; ROC'!D18</f>
        <v>1.038291953178311</v>
      </c>
      <c r="R18" s="142">
        <f>'[1]ps'!H18</f>
        <v>1.534583723026887</v>
      </c>
    </row>
    <row r="19" spans="1:18" ht="12.75">
      <c r="A19" t="str">
        <f>'[1]Master'!A19</f>
        <v>Chemical (Basic)</v>
      </c>
      <c r="B19" s="57">
        <f>'[1]Master'!B19</f>
        <v>16</v>
      </c>
      <c r="C19" s="142">
        <f>'[1]Betas'!C19</f>
        <v>0.8846153846153846</v>
      </c>
      <c r="D19" s="142">
        <f>'[1]Betas'!H19</f>
        <v>0.7393633392986152</v>
      </c>
      <c r="E19" s="143">
        <f>'[1]Betas'!D19</f>
        <v>0.309699310172058</v>
      </c>
      <c r="F19" s="143">
        <f>'[1]Debt Fundas'!C19</f>
        <v>0.2364659641848419</v>
      </c>
      <c r="G19" s="143">
        <f>'[1]roe'!E19</f>
        <v>0.1051786717184841</v>
      </c>
      <c r="H19" s="143">
        <f>'[1]roe'!C19</f>
        <v>0.14258541697008154</v>
      </c>
      <c r="I19" s="143">
        <f>'[1]Betas'!E19</f>
        <v>0.16760312500000002</v>
      </c>
      <c r="J19" s="143">
        <f>'[1]margins'!E19</f>
        <v>0.13185483309426657</v>
      </c>
      <c r="K19" s="143">
        <f>'[1]margins'!F19</f>
        <v>0.10825566501873071</v>
      </c>
      <c r="L19" s="143">
        <f>'[1]margins'!G19</f>
        <v>0.006445054103360397</v>
      </c>
      <c r="M19" s="143">
        <f>'[1]Cap Ex'!E19</f>
        <v>0.811733926621758</v>
      </c>
      <c r="N19" s="143">
        <f>'[1]wc data'!G19</f>
        <v>0.11970977759828429</v>
      </c>
      <c r="O19" s="143">
        <f>'[1]Div Fundas'!D19</f>
        <v>1.2802861127714684</v>
      </c>
      <c r="P19" s="143">
        <f>'[1]FundGREB'!D19</f>
        <v>-0.11424845166990545</v>
      </c>
      <c r="Q19" s="142">
        <f>'[1]Mgn &amp; ROC'!D19</f>
        <v>1.3171173715981606</v>
      </c>
      <c r="R19" s="142">
        <f>'[1]ps'!H19</f>
        <v>1.7175470358043088</v>
      </c>
    </row>
    <row r="20" spans="1:18" ht="12.75">
      <c r="A20" t="str">
        <f>'[1]Master'!A20</f>
        <v>Chemical (Diversified)</v>
      </c>
      <c r="B20" s="57">
        <f>'[1]Master'!B20</f>
        <v>33</v>
      </c>
      <c r="C20" s="142">
        <f>'[1]Betas'!C20</f>
        <v>0.8258620689655171</v>
      </c>
      <c r="D20" s="142">
        <f>'[1]Betas'!H20</f>
        <v>0.7295983641278218</v>
      </c>
      <c r="E20" s="143">
        <f>'[1]Betas'!D20</f>
        <v>0.23188577141689556</v>
      </c>
      <c r="F20" s="143">
        <f>'[1]Debt Fundas'!C20</f>
        <v>0.18823642321169454</v>
      </c>
      <c r="G20" s="143">
        <f>'[1]roe'!E20</f>
        <v>0.15276107317719925</v>
      </c>
      <c r="H20" s="143">
        <f>'[1]roe'!C20</f>
        <v>0.17099291520057194</v>
      </c>
      <c r="I20" s="143">
        <f>'[1]Betas'!E20</f>
        <v>0.2875303030303031</v>
      </c>
      <c r="J20" s="143">
        <f>'[1]margins'!E20</f>
        <v>0.1899856035634663</v>
      </c>
      <c r="K20" s="143">
        <f>'[1]margins'!F20</f>
        <v>0.12232464730214661</v>
      </c>
      <c r="L20" s="143">
        <f>'[1]margins'!G20</f>
        <v>0.056620351469418365</v>
      </c>
      <c r="M20" s="143">
        <f>'[1]Cap Ex'!E20</f>
        <v>1.023022497374385</v>
      </c>
      <c r="N20" s="143">
        <f>'[1]wc data'!G20</f>
        <v>0.17211425085099952</v>
      </c>
      <c r="O20" s="143">
        <f>'[1]Div Fundas'!D20</f>
        <v>0.428697033569945</v>
      </c>
      <c r="P20" s="143">
        <f>'[1]FundGREB'!D20</f>
        <v>0.04577961170547568</v>
      </c>
      <c r="Q20" s="142">
        <f>'[1]Mgn &amp; ROC'!D20</f>
        <v>1.39786150192784</v>
      </c>
      <c r="R20" s="142">
        <f>'[1]ps'!H20</f>
        <v>1.7010518874516047</v>
      </c>
    </row>
    <row r="21" spans="1:18" ht="12.75">
      <c r="A21" t="str">
        <f>'[1]Master'!A21</f>
        <v>Chemical (Specialty)</v>
      </c>
      <c r="B21" s="57">
        <f>'[1]Master'!B21</f>
        <v>95</v>
      </c>
      <c r="C21" s="142">
        <f>'[1]Betas'!C21</f>
        <v>0.8027397260273974</v>
      </c>
      <c r="D21" s="142">
        <f>'[1]Betas'!H21</f>
        <v>0.652334182618641</v>
      </c>
      <c r="E21" s="143">
        <f>'[1]Betas'!D21</f>
        <v>0.34574511842174144</v>
      </c>
      <c r="F21" s="143">
        <f>'[1]Debt Fundas'!C21</f>
        <v>0.256917237661782</v>
      </c>
      <c r="G21" s="143">
        <f>'[1]roe'!E21</f>
        <v>0.1220573115756729</v>
      </c>
      <c r="H21" s="143">
        <f>'[1]roe'!C21</f>
        <v>0.13395648914998998</v>
      </c>
      <c r="I21" s="143">
        <f>'[1]Betas'!E21</f>
        <v>0.2228436842105263</v>
      </c>
      <c r="J21" s="143">
        <f>'[1]margins'!E21</f>
        <v>0.13643940414016062</v>
      </c>
      <c r="K21" s="143">
        <f>'[1]margins'!F21</f>
        <v>0.08905821934986868</v>
      </c>
      <c r="L21" s="143">
        <f>'[1]margins'!G21</f>
        <v>0.03368579597984412</v>
      </c>
      <c r="M21" s="143">
        <f>'[1]Cap Ex'!E21</f>
        <v>0.902683407188577</v>
      </c>
      <c r="N21" s="143">
        <f>'[1]wc data'!G21</f>
        <v>0.11900910443466176</v>
      </c>
      <c r="O21" s="143">
        <f>'[1]Div Fundas'!D21</f>
        <v>0.4597309472385065</v>
      </c>
      <c r="P21" s="143">
        <f>'[1]FundGREB'!D21</f>
        <v>0.008891013041557186</v>
      </c>
      <c r="Q21" s="142">
        <f>'[1]Mgn &amp; ROC'!D21</f>
        <v>1.5041451550219829</v>
      </c>
      <c r="R21" s="142">
        <f>'[1]ps'!H21</f>
        <v>1.282386868062231</v>
      </c>
    </row>
    <row r="22" spans="1:18" ht="12.75">
      <c r="A22" t="str">
        <f>'[1]Master'!A22</f>
        <v>Coal</v>
      </c>
      <c r="B22" s="57">
        <f>'[1]Master'!B22</f>
        <v>8</v>
      </c>
      <c r="C22" s="142">
        <f>'[1]Betas'!C22</f>
        <v>0.95</v>
      </c>
      <c r="D22" s="142">
        <f>'[1]Betas'!H22</f>
        <v>0.7266520568035141</v>
      </c>
      <c r="E22" s="143">
        <f>'[1]Betas'!D22</f>
        <v>0.3359617515246489</v>
      </c>
      <c r="F22" s="143">
        <f>'[1]Debt Fundas'!C22</f>
        <v>0.2514755764087085</v>
      </c>
      <c r="G22" s="143">
        <f>'[1]roe'!E22</f>
        <v>0.04957556158687994</v>
      </c>
      <c r="H22" s="143">
        <f>'[1]roe'!C22</f>
        <v>0.17687511165126735</v>
      </c>
      <c r="I22" s="143">
        <f>'[1]Betas'!E22</f>
        <v>0.029500000000000002</v>
      </c>
      <c r="J22" s="143">
        <f>'[1]margins'!E22</f>
        <v>0.1326755548019246</v>
      </c>
      <c r="K22" s="143">
        <f>'[1]margins'!F22</f>
        <v>0.12801598168676745</v>
      </c>
      <c r="L22" s="143">
        <f>'[1]margins'!G22</f>
        <v>-0.001791051103245088</v>
      </c>
      <c r="M22" s="143">
        <f>'[1]Cap Ex'!E22</f>
        <v>0.8342440801457196</v>
      </c>
      <c r="N22" s="143">
        <f>'[1]wc data'!G22</f>
        <v>0.05238559528603828</v>
      </c>
      <c r="O22" s="143">
        <f>'[1]Div Fundas'!D22</f>
        <v>0.8728072218986604</v>
      </c>
      <c r="P22" s="143">
        <f>'[1]FundGREB'!D22</f>
        <v>-0.08919491574534082</v>
      </c>
      <c r="Q22" s="142">
        <f>'[1]Mgn &amp; ROC'!D22</f>
        <v>1.3816642994157524</v>
      </c>
      <c r="R22" s="142">
        <f>'[1]ps'!H22</f>
        <v>1.398503571504271</v>
      </c>
    </row>
    <row r="23" spans="1:18" ht="12.75">
      <c r="A23" t="str">
        <f>'[1]Master'!A23</f>
        <v>Computer Software/Svcs</v>
      </c>
      <c r="B23" s="57">
        <f>'[1]Master'!B23</f>
        <v>387</v>
      </c>
      <c r="C23" s="142">
        <f>'[1]Betas'!C23</f>
        <v>1.772835051546391</v>
      </c>
      <c r="D23" s="142">
        <f>'[1]Betas'!H23</f>
        <v>1.9737330011337317</v>
      </c>
      <c r="E23" s="143">
        <f>'[1]Betas'!D23</f>
        <v>0.03026570306349221</v>
      </c>
      <c r="F23" s="143">
        <f>'[1]Debt Fundas'!C23</f>
        <v>0.029376599622308333</v>
      </c>
      <c r="G23" s="143">
        <f>'[1]roe'!E23</f>
        <v>0.13710851153348952</v>
      </c>
      <c r="H23" s="143">
        <f>'[1]roe'!C23</f>
        <v>0.16390372219675417</v>
      </c>
      <c r="I23" s="143">
        <f>'[1]Betas'!E23</f>
        <v>0.14832118863049093</v>
      </c>
      <c r="J23" s="143">
        <f>'[1]margins'!E23</f>
        <v>0.23306748513138043</v>
      </c>
      <c r="K23" s="143">
        <f>'[1]margins'!F23</f>
        <v>0.15705054954840075</v>
      </c>
      <c r="L23" s="143">
        <f>'[1]margins'!G23</f>
        <v>0.11208908409514434</v>
      </c>
      <c r="M23" s="143">
        <f>'[1]Cap Ex'!E23</f>
        <v>0.6642772494724977</v>
      </c>
      <c r="N23" s="143">
        <f>'[1]wc data'!G23</f>
        <v>-0.03920200087588628</v>
      </c>
      <c r="O23" s="143">
        <f>'[1]Div Fundas'!D23</f>
        <v>0.14380273398569499</v>
      </c>
      <c r="P23" s="143">
        <f>'[1]FundGREB'!D23</f>
        <v>-0.12130484006615978</v>
      </c>
      <c r="Q23" s="142">
        <f>'[1]Mgn &amp; ROC'!D23</f>
        <v>1.0436367314094712</v>
      </c>
      <c r="R23" s="142">
        <f>'[1]ps'!H23</f>
        <v>3.7251702920980123</v>
      </c>
    </row>
    <row r="24" spans="1:18" ht="12.75">
      <c r="A24" t="str">
        <f>'[1]Master'!A24</f>
        <v>Computers/Peripherals</v>
      </c>
      <c r="B24" s="57">
        <f>'[1]Master'!B24</f>
        <v>148</v>
      </c>
      <c r="C24" s="142">
        <f>'[1]Betas'!C24</f>
        <v>1.831034482758621</v>
      </c>
      <c r="D24" s="142">
        <f>'[1]Betas'!H24</f>
        <v>1.880009213622401</v>
      </c>
      <c r="E24" s="143">
        <f>'[1]Betas'!D24</f>
        <v>0.09455537339915825</v>
      </c>
      <c r="F24" s="143">
        <f>'[1]Debt Fundas'!C24</f>
        <v>0.0863870167714906</v>
      </c>
      <c r="G24" s="143">
        <f>'[1]roe'!E24</f>
        <v>0.11010195142862468</v>
      </c>
      <c r="H24" s="143">
        <f>'[1]roe'!C24</f>
        <v>0.13757747049689714</v>
      </c>
      <c r="I24" s="143">
        <f>'[1]Betas'!E24</f>
        <v>0.17318344594594598</v>
      </c>
      <c r="J24" s="143">
        <f>'[1]margins'!E24</f>
        <v>0.09378286912394386</v>
      </c>
      <c r="K24" s="143">
        <f>'[1]margins'!F24</f>
        <v>0.06756477473541019</v>
      </c>
      <c r="L24" s="143">
        <f>'[1]margins'!G24</f>
        <v>0.03805328869130496</v>
      </c>
      <c r="M24" s="143">
        <f>'[1]Cap Ex'!E24</f>
        <v>0.845326047806875</v>
      </c>
      <c r="N24" s="143">
        <f>'[1]wc data'!G24</f>
        <v>0.018879384621432762</v>
      </c>
      <c r="O24" s="143">
        <f>'[1]Div Fundas'!D24</f>
        <v>0.18918490681021788</v>
      </c>
      <c r="P24" s="143">
        <f>'[1]FundGREB'!D24</f>
        <v>-0.08853549805799336</v>
      </c>
      <c r="Q24" s="142">
        <f>'[1]Mgn &amp; ROC'!D24</f>
        <v>2.036230728743832</v>
      </c>
      <c r="R24" s="142">
        <f>'[1]ps'!H24</f>
        <v>1.4593507467820719</v>
      </c>
    </row>
    <row r="25" spans="1:18" ht="12.75">
      <c r="A25" t="str">
        <f>'[1]Master'!A25</f>
        <v>Diversified Co.</v>
      </c>
      <c r="B25" s="57">
        <f>'[1]Master'!B25</f>
        <v>102</v>
      </c>
      <c r="C25" s="142">
        <f>'[1]Betas'!C25</f>
        <v>0.779113924050633</v>
      </c>
      <c r="D25" s="142">
        <f>'[1]Betas'!H25</f>
        <v>0.638662423888712</v>
      </c>
      <c r="E25" s="143">
        <f>'[1]Betas'!D25</f>
        <v>0.4455390601839442</v>
      </c>
      <c r="F25" s="143">
        <f>'[1]Debt Fundas'!C25</f>
        <v>0.30821654872975174</v>
      </c>
      <c r="G25" s="143">
        <f>'[1]roe'!E25</f>
        <v>0.12270957964972608</v>
      </c>
      <c r="H25" s="143">
        <f>'[1]roe'!C25</f>
        <v>0.1109378810286209</v>
      </c>
      <c r="I25" s="143">
        <f>'[1]Betas'!E25</f>
        <v>0.2109570588235294</v>
      </c>
      <c r="J25" s="143">
        <f>'[1]margins'!E25</f>
        <v>0.09459566891560554</v>
      </c>
      <c r="K25" s="143">
        <f>'[1]margins'!F25</f>
        <v>0.0740240840178695</v>
      </c>
      <c r="L25" s="143">
        <f>'[1]margins'!G25</f>
        <v>0.017492920007226638</v>
      </c>
      <c r="M25" s="143">
        <f>'[1]Cap Ex'!E25</f>
        <v>1.0566377684040953</v>
      </c>
      <c r="N25" s="143">
        <f>'[1]wc data'!G25</f>
        <v>0.0407225698672692</v>
      </c>
      <c r="O25" s="143">
        <f>'[1]Div Fundas'!D25</f>
        <v>0.24600575148779807</v>
      </c>
      <c r="P25" s="143">
        <f>'[1]FundGREB'!D25</f>
        <v>0.023236292075651793</v>
      </c>
      <c r="Q25" s="142">
        <f>'[1]Mgn &amp; ROC'!D25</f>
        <v>1.4986727968405575</v>
      </c>
      <c r="R25" s="142">
        <f>'[1]ps'!H25</f>
        <v>1.0778306479806476</v>
      </c>
    </row>
    <row r="26" spans="1:18" ht="12.75">
      <c r="A26" t="str">
        <f>'[1]Master'!A26</f>
        <v>Drug</v>
      </c>
      <c r="B26" s="57">
        <f>'[1]Master'!B26</f>
        <v>276</v>
      </c>
      <c r="C26" s="142">
        <f>'[1]Betas'!C26</f>
        <v>1.1541401273885352</v>
      </c>
      <c r="D26" s="142">
        <f>'[1]Betas'!H26</f>
        <v>1.165105584276963</v>
      </c>
      <c r="E26" s="143">
        <f>'[1]Betas'!D26</f>
        <v>0.06687644589663479</v>
      </c>
      <c r="F26" s="143">
        <f>'[1]Debt Fundas'!C26</f>
        <v>0.06268434002255044</v>
      </c>
      <c r="G26" s="143">
        <f>'[1]roe'!E26</f>
        <v>0.2127246816269524</v>
      </c>
      <c r="H26" s="143">
        <f>'[1]roe'!C26</f>
        <v>0.19401766059403552</v>
      </c>
      <c r="I26" s="143">
        <f>'[1]Betas'!E26</f>
        <v>0.1124453623188406</v>
      </c>
      <c r="J26" s="143">
        <f>'[1]margins'!E26</f>
        <v>0.26259293152149477</v>
      </c>
      <c r="K26" s="143">
        <f>'[1]margins'!F26</f>
        <v>0.1871034674719394</v>
      </c>
      <c r="L26" s="143">
        <f>'[1]margins'!G26</f>
        <v>0.10097010150616473</v>
      </c>
      <c r="M26" s="143">
        <f>'[1]Cap Ex'!E26</f>
        <v>1.5184637003899788</v>
      </c>
      <c r="N26" s="143">
        <f>'[1]wc data'!G26</f>
        <v>0.0777840514801134</v>
      </c>
      <c r="O26" s="143">
        <f>'[1]Div Fundas'!D26</f>
        <v>0.525730931750107</v>
      </c>
      <c r="P26" s="143">
        <f>'[1]FundGREB'!D26</f>
        <v>0.15659614510715109</v>
      </c>
      <c r="Q26" s="142">
        <f>'[1]Mgn &amp; ROC'!D26</f>
        <v>1.036953848132895</v>
      </c>
      <c r="R26" s="142">
        <f>'[1]ps'!H26</f>
        <v>4.528649684564762</v>
      </c>
    </row>
    <row r="27" spans="1:18" ht="12.75">
      <c r="A27" t="str">
        <f>'[1]Master'!A27</f>
        <v>E-Commerce</v>
      </c>
      <c r="B27" s="57">
        <f>'[1]Master'!B27</f>
        <v>41</v>
      </c>
      <c r="C27" s="142">
        <f>'[1]Betas'!C27</f>
        <v>2.88625</v>
      </c>
      <c r="D27" s="142">
        <f>'[1]Betas'!H27</f>
        <v>3.7664243881731565</v>
      </c>
      <c r="E27" s="143">
        <f>'[1]Betas'!D27</f>
        <v>0.060721852477187796</v>
      </c>
      <c r="F27" s="143">
        <f>'[1]Debt Fundas'!C27</f>
        <v>0.05724578251629231</v>
      </c>
      <c r="G27" s="143">
        <f>'[1]roe'!E27</f>
        <v>-0.37141253807920477</v>
      </c>
      <c r="H27" s="143">
        <f>'[1]roe'!C27</f>
        <v>-0.9379820214191869</v>
      </c>
      <c r="I27" s="143">
        <f>'[1]Betas'!E27</f>
        <v>0.8447965853658534</v>
      </c>
      <c r="J27" s="143">
        <f>'[1]margins'!E27</f>
        <v>0.021024368730804724</v>
      </c>
      <c r="K27" s="143">
        <f>'[1]margins'!F27</f>
        <v>-1.0693338466193623</v>
      </c>
      <c r="L27" s="143">
        <f>'[1]margins'!G27</f>
        <v>-0.13219964597485515</v>
      </c>
      <c r="M27" s="143">
        <f>'[1]Cap Ex'!E27</f>
        <v>0.5930005329543436</v>
      </c>
      <c r="N27" s="143">
        <f>'[1]wc data'!G27</f>
        <v>-0.1876938438960921</v>
      </c>
      <c r="O27" s="143" t="str">
        <f>'[1]Div Fundas'!D27</f>
        <v>NA</v>
      </c>
      <c r="P27" s="143" t="str">
        <f>'[1]FundGREB'!D27</f>
        <v>NA</v>
      </c>
      <c r="Q27" s="142">
        <f>'[1]Mgn &amp; ROC'!D27</f>
        <v>0.8771648109564317</v>
      </c>
      <c r="R27" s="142">
        <f>'[1]ps'!H27</f>
        <v>2.6048383436464593</v>
      </c>
    </row>
    <row r="28" spans="1:18" ht="12.75">
      <c r="A28" t="str">
        <f>'[1]Master'!A28</f>
        <v>Educational Services</v>
      </c>
      <c r="B28" s="57">
        <f>'[1]Master'!B28</f>
        <v>34</v>
      </c>
      <c r="C28" s="142">
        <f>'[1]Betas'!C28</f>
        <v>1.0335294117647058</v>
      </c>
      <c r="D28" s="142">
        <f>'[1]Betas'!H28</f>
        <v>1.0884882272976624</v>
      </c>
      <c r="E28" s="143">
        <f>'[1]Betas'!D28</f>
        <v>0.02170165168371038</v>
      </c>
      <c r="F28" s="143">
        <f>'[1]Debt Fundas'!C28</f>
        <v>0.021240693550751536</v>
      </c>
      <c r="G28" s="143">
        <f>'[1]roe'!E28</f>
        <v>0.08773059249228583</v>
      </c>
      <c r="H28" s="143">
        <f>'[1]roe'!C28</f>
        <v>0.1622631091270224</v>
      </c>
      <c r="I28" s="143">
        <f>'[1]Betas'!E28</f>
        <v>0.16440176470588236</v>
      </c>
      <c r="J28" s="143">
        <f>'[1]margins'!E28</f>
        <v>0.17843475124083358</v>
      </c>
      <c r="K28" s="143">
        <f>'[1]margins'!F28</f>
        <v>0.11077949431915426</v>
      </c>
      <c r="L28" s="143">
        <f>'[1]margins'!G28</f>
        <v>0.06283818476243137</v>
      </c>
      <c r="M28" s="143">
        <f>'[1]Cap Ex'!E28</f>
        <v>1.1249376558603492</v>
      </c>
      <c r="N28" s="143">
        <f>'[1]wc data'!G28</f>
        <v>-0.10259752228234395</v>
      </c>
      <c r="O28" s="143">
        <f>'[1]Div Fundas'!D28</f>
        <v>0.007039473684210527</v>
      </c>
      <c r="P28" s="143">
        <f>'[1]FundGREB'!D28</f>
        <v>-0.0671427351846941</v>
      </c>
      <c r="Q28" s="142">
        <f>'[1]Mgn &amp; ROC'!D28</f>
        <v>1.4647395722853231</v>
      </c>
      <c r="R28" s="142">
        <f>'[1]ps'!H28</f>
        <v>3.936450886685888</v>
      </c>
    </row>
    <row r="29" spans="1:18" ht="12.75">
      <c r="A29" t="str">
        <f>'[1]Master'!A29</f>
        <v>Electric Util. (Central)</v>
      </c>
      <c r="B29" s="57">
        <f>'[1]Master'!B29</f>
        <v>27</v>
      </c>
      <c r="C29" s="142">
        <f>'[1]Betas'!C29</f>
        <v>0.8</v>
      </c>
      <c r="D29" s="142">
        <f>'[1]Betas'!H29</f>
        <v>0.43145551119359427</v>
      </c>
      <c r="E29" s="143">
        <f>'[1]Betas'!D29</f>
        <v>1.2305483209938068</v>
      </c>
      <c r="F29" s="143">
        <f>'[1]Debt Fundas'!C29</f>
        <v>0.5516797414393353</v>
      </c>
      <c r="G29" s="143">
        <f>'[1]roe'!E29</f>
        <v>0.0951920254592081</v>
      </c>
      <c r="H29" s="143">
        <f>'[1]roe'!C29</f>
        <v>0.10049269866746366</v>
      </c>
      <c r="I29" s="143">
        <f>'[1]Betas'!E29</f>
        <v>0.24611407407407407</v>
      </c>
      <c r="J29" s="143">
        <f>'[1]margins'!E29</f>
        <v>0.21120316773846376</v>
      </c>
      <c r="K29" s="143">
        <f>'[1]margins'!F29</f>
        <v>0.15226555359869945</v>
      </c>
      <c r="L29" s="143">
        <f>'[1]margins'!G29</f>
        <v>0.03082379958088121</v>
      </c>
      <c r="M29" s="143">
        <f>'[1]Cap Ex'!E29</f>
        <v>1.4682028401346676</v>
      </c>
      <c r="N29" s="143">
        <f>'[1]wc data'!G29</f>
        <v>0.04354989067290165</v>
      </c>
      <c r="O29" s="143">
        <f>'[1]Div Fundas'!D29</f>
        <v>0.6873141292220307</v>
      </c>
      <c r="P29" s="143">
        <f>'[1]FundGREB'!D29</f>
        <v>0.290353332540939</v>
      </c>
      <c r="Q29" s="142">
        <f>'[1]Mgn &amp; ROC'!D29</f>
        <v>0.6599831432151441</v>
      </c>
      <c r="R29" s="142">
        <f>'[1]ps'!H29</f>
        <v>1.786408576398231</v>
      </c>
    </row>
    <row r="30" spans="1:18" ht="12.75">
      <c r="A30" t="str">
        <f>'[1]Master'!A30</f>
        <v>Electric Utility (East)</v>
      </c>
      <c r="B30" s="57">
        <f>'[1]Master'!B30</f>
        <v>29</v>
      </c>
      <c r="C30" s="142">
        <f>'[1]Betas'!C30</f>
        <v>0.732142857142857</v>
      </c>
      <c r="D30" s="142">
        <f>'[1]Betas'!H30</f>
        <v>0.43921400227029767</v>
      </c>
      <c r="E30" s="143">
        <f>'[1]Betas'!D30</f>
        <v>0.9448136959862427</v>
      </c>
      <c r="F30" s="143">
        <f>'[1]Debt Fundas'!C30</f>
        <v>0.4858119304364083</v>
      </c>
      <c r="G30" s="143">
        <f>'[1]roe'!E30</f>
        <v>0.12155229645723943</v>
      </c>
      <c r="H30" s="143">
        <f>'[1]roe'!C30</f>
        <v>0.10391189983375773</v>
      </c>
      <c r="I30" s="143">
        <f>'[1]Betas'!E30</f>
        <v>0.2610896551724138</v>
      </c>
      <c r="J30" s="143">
        <f>'[1]margins'!E30</f>
        <v>0.27700739368602</v>
      </c>
      <c r="K30" s="143">
        <f>'[1]margins'!F30</f>
        <v>0.19583090751114574</v>
      </c>
      <c r="L30" s="143">
        <f>'[1]margins'!G30</f>
        <v>0.0557908193983671</v>
      </c>
      <c r="M30" s="143">
        <f>'[1]Cap Ex'!E30</f>
        <v>1.7133294169694597</v>
      </c>
      <c r="N30" s="143">
        <f>'[1]wc data'!G30</f>
        <v>0.04295461903481176</v>
      </c>
      <c r="O30" s="143">
        <f>'[1]Div Fundas'!D30</f>
        <v>0.616206725336438</v>
      </c>
      <c r="P30" s="143">
        <f>'[1]FundGREB'!D30</f>
        <v>0.38497719342343006</v>
      </c>
      <c r="Q30" s="142">
        <f>'[1]Mgn &amp; ROC'!D30</f>
        <v>0.5306205294883984</v>
      </c>
      <c r="R30" s="142">
        <f>'[1]ps'!H30</f>
        <v>2.407848959411159</v>
      </c>
    </row>
    <row r="31" spans="1:18" ht="12.75">
      <c r="A31" t="str">
        <f>'[1]Master'!A31</f>
        <v>Electric Utility (West)</v>
      </c>
      <c r="B31" s="57">
        <f>'[1]Master'!B31</f>
        <v>15</v>
      </c>
      <c r="C31" s="142">
        <f>'[1]Betas'!C31</f>
        <v>0.79</v>
      </c>
      <c r="D31" s="142">
        <f>'[1]Betas'!H31</f>
        <v>0.4546555376283978</v>
      </c>
      <c r="E31" s="143">
        <f>'[1]Betas'!D31</f>
        <v>1.2278926601524573</v>
      </c>
      <c r="F31" s="143">
        <f>'[1]Debt Fundas'!C31</f>
        <v>0.551145341117301</v>
      </c>
      <c r="G31" s="143">
        <f>'[1]roe'!E31</f>
        <v>0.040408133464753776</v>
      </c>
      <c r="H31" s="143">
        <f>'[1]roe'!C31</f>
        <v>0.0857293075332022</v>
      </c>
      <c r="I31" s="143">
        <f>'[1]Betas'!E31</f>
        <v>0.2710326666666667</v>
      </c>
      <c r="J31" s="143">
        <f>'[1]margins'!E31</f>
        <v>0.19196676876147675</v>
      </c>
      <c r="K31" s="143">
        <f>'[1]margins'!F31</f>
        <v>0.13232648071545766</v>
      </c>
      <c r="L31" s="143">
        <f>'[1]margins'!G31</f>
        <v>0.0017900662875589505</v>
      </c>
      <c r="M31" s="143">
        <f>'[1]Cap Ex'!E31</f>
        <v>1.9337298956843314</v>
      </c>
      <c r="N31" s="143">
        <f>'[1]wc data'!G31</f>
        <v>-0.062117255563515356</v>
      </c>
      <c r="O31" s="143">
        <f>'[1]Div Fundas'!D31</f>
        <v>0.9864269581714697</v>
      </c>
      <c r="P31" s="143">
        <f>'[1]FundGREB'!D31</f>
        <v>0.6373812670991944</v>
      </c>
      <c r="Q31" s="142">
        <f>'[1]Mgn &amp; ROC'!D31</f>
        <v>0.6478620686478195</v>
      </c>
      <c r="R31" s="142">
        <f>'[1]ps'!H31</f>
        <v>1.7577455474989734</v>
      </c>
    </row>
    <row r="32" spans="1:18" ht="12.75">
      <c r="A32" t="str">
        <f>'[1]Master'!A32</f>
        <v>Electrical Equipment</v>
      </c>
      <c r="B32" s="57">
        <f>'[1]Master'!B32</f>
        <v>86</v>
      </c>
      <c r="C32" s="142">
        <f>'[1]Betas'!C32</f>
        <v>1.3389285714285715</v>
      </c>
      <c r="D32" s="142">
        <f>'[1]Betas'!H32</f>
        <v>1.2900067195084848</v>
      </c>
      <c r="E32" s="143">
        <f>'[1]Betas'!D32</f>
        <v>0.06500866403789826</v>
      </c>
      <c r="F32" s="143">
        <f>'[1]Debt Fundas'!C32</f>
        <v>0.061040502517062084</v>
      </c>
      <c r="G32" s="143">
        <f>'[1]roe'!E32</f>
        <v>0.18692849173252424</v>
      </c>
      <c r="H32" s="143">
        <f>'[1]roe'!C32</f>
        <v>0.1710787293987978</v>
      </c>
      <c r="I32" s="143">
        <f>'[1]Betas'!E32</f>
        <v>0.13976337209302325</v>
      </c>
      <c r="J32" s="143">
        <f>'[1]margins'!E32</f>
        <v>0.2039249227422724</v>
      </c>
      <c r="K32" s="143">
        <f>'[1]margins'!F32</f>
        <v>0.1575590947710407</v>
      </c>
      <c r="L32" s="143">
        <f>'[1]margins'!G32</f>
        <v>0.12384375435872258</v>
      </c>
      <c r="M32" s="143">
        <f>'[1]Cap Ex'!E32</f>
        <v>0.47090544119917804</v>
      </c>
      <c r="N32" s="143">
        <f>'[1]wc data'!G32</f>
        <v>-0.03685312525950776</v>
      </c>
      <c r="O32" s="143">
        <f>'[1]Div Fundas'!D32</f>
        <v>0.5332601188928331</v>
      </c>
      <c r="P32" s="143">
        <f>'[1]FundGREB'!D32</f>
        <v>-0.23414087643033338</v>
      </c>
      <c r="Q32" s="142">
        <f>'[1]Mgn &amp; ROC'!D32</f>
        <v>1.0858067549029993</v>
      </c>
      <c r="R32" s="142">
        <f>'[1]ps'!H32</f>
        <v>3.3457437502469105</v>
      </c>
    </row>
    <row r="33" spans="1:18" ht="12.75">
      <c r="A33" t="str">
        <f>'[1]Master'!A33</f>
        <v>Electronics</v>
      </c>
      <c r="B33" s="57">
        <f>'[1]Master'!B33</f>
        <v>181</v>
      </c>
      <c r="C33" s="142">
        <f>'[1]Betas'!C33</f>
        <v>1.4060869565217395</v>
      </c>
      <c r="D33" s="142">
        <f>'[1]Betas'!H33</f>
        <v>1.3989304658900275</v>
      </c>
      <c r="E33" s="143">
        <f>'[1]Betas'!D33</f>
        <v>0.18703078701550646</v>
      </c>
      <c r="F33" s="143">
        <f>'[1]Debt Fundas'!C33</f>
        <v>0.15756186702263117</v>
      </c>
      <c r="G33" s="143">
        <f>'[1]roe'!E33</f>
        <v>-0.056157372324434456</v>
      </c>
      <c r="H33" s="143">
        <f>'[1]roe'!C33</f>
        <v>0.03433741984540956</v>
      </c>
      <c r="I33" s="143">
        <f>'[1]Betas'!E33</f>
        <v>0.16272563535911608</v>
      </c>
      <c r="J33" s="143">
        <f>'[1]margins'!E33</f>
        <v>0.035019347434570046</v>
      </c>
      <c r="K33" s="143">
        <f>'[1]margins'!F33</f>
        <v>0.019934170218207644</v>
      </c>
      <c r="L33" s="143">
        <f>'[1]margins'!G33</f>
        <v>-0.024272620631481612</v>
      </c>
      <c r="M33" s="143">
        <f>'[1]Cap Ex'!E33</f>
        <v>0.6461947785599468</v>
      </c>
      <c r="N33" s="143">
        <f>'[1]wc data'!G33</f>
        <v>0.14373309790284886</v>
      </c>
      <c r="O33" s="143" t="str">
        <f>'[1]Div Fundas'!D33</f>
        <v>NA</v>
      </c>
      <c r="P33" s="143">
        <f>'[1]FundGREB'!D33</f>
        <v>-0.323735178268297</v>
      </c>
      <c r="Q33" s="142">
        <f>'[1]Mgn &amp; ROC'!D33</f>
        <v>1.722540716244419</v>
      </c>
      <c r="R33" s="142">
        <f>'[1]ps'!H33</f>
        <v>1.0182466822909877</v>
      </c>
    </row>
    <row r="34" spans="1:18" ht="12.75">
      <c r="A34" t="str">
        <f>'[1]Master'!A34</f>
        <v>Entertainment</v>
      </c>
      <c r="B34" s="57">
        <f>'[1]Master'!B34</f>
        <v>84</v>
      </c>
      <c r="C34" s="142">
        <f>'[1]Betas'!C34</f>
        <v>1.182051282051282</v>
      </c>
      <c r="D34" s="142">
        <f>'[1]Betas'!H34</f>
        <v>1.050940211526499</v>
      </c>
      <c r="E34" s="143">
        <f>'[1]Betas'!D34</f>
        <v>0.23989095972500793</v>
      </c>
      <c r="F34" s="143">
        <f>'[1]Debt Fundas'!C34</f>
        <v>0.19347746496854265</v>
      </c>
      <c r="G34" s="143">
        <f>'[1]roe'!E34</f>
        <v>0.009856696933397543</v>
      </c>
      <c r="H34" s="143">
        <f>'[1]roe'!C34</f>
        <v>0.07297833831536821</v>
      </c>
      <c r="I34" s="143">
        <f>'[1]Betas'!E34</f>
        <v>0.33674607142857144</v>
      </c>
      <c r="J34" s="143">
        <f>'[1]margins'!E34</f>
        <v>0.22628583270903685</v>
      </c>
      <c r="K34" s="143">
        <f>'[1]margins'!F34</f>
        <v>0.16082025820716955</v>
      </c>
      <c r="L34" s="143">
        <f>'[1]margins'!G34</f>
        <v>0.004697598228861508</v>
      </c>
      <c r="M34" s="143">
        <f>'[1]Cap Ex'!E34</f>
        <v>0.5653598757450823</v>
      </c>
      <c r="N34" s="143">
        <f>'[1]wc data'!G34</f>
        <v>-0.00856986716461301</v>
      </c>
      <c r="O34" s="143">
        <f>'[1]Div Fundas'!D34</f>
        <v>0.5676165850117945</v>
      </c>
      <c r="P34" s="143">
        <f>'[1]FundGREB'!D34</f>
        <v>-0.23669948680920638</v>
      </c>
      <c r="Q34" s="142">
        <f>'[1]Mgn &amp; ROC'!D34</f>
        <v>0.45378821753511367</v>
      </c>
      <c r="R34" s="142">
        <f>'[1]ps'!H34</f>
        <v>3.2136170248451372</v>
      </c>
    </row>
    <row r="35" spans="1:18" ht="12.75">
      <c r="A35" t="str">
        <f>'[1]Master'!A35</f>
        <v>Entertainment Tech</v>
      </c>
      <c r="B35" s="57">
        <f>'[1]Master'!B35</f>
        <v>32</v>
      </c>
      <c r="C35" s="142">
        <f>'[1]Betas'!C35</f>
        <v>1.8213636363636363</v>
      </c>
      <c r="D35" s="142">
        <f>'[1]Betas'!H35</f>
        <v>1.9583770408640735</v>
      </c>
      <c r="E35" s="143">
        <f>'[1]Betas'!D35</f>
        <v>0.0859575622799354</v>
      </c>
      <c r="F35" s="143">
        <f>'[1]Debt Fundas'!C35</f>
        <v>0.07915370293059157</v>
      </c>
      <c r="G35" s="143">
        <f>'[1]roe'!E35</f>
        <v>0.02213410237923576</v>
      </c>
      <c r="H35" s="143">
        <f>'[1]roe'!C35</f>
        <v>0.13353701295567796</v>
      </c>
      <c r="I35" s="143">
        <f>'[1]Betas'!E35</f>
        <v>0.26729375</v>
      </c>
      <c r="J35" s="143">
        <f>'[1]margins'!E35</f>
        <v>0.13761138274283347</v>
      </c>
      <c r="K35" s="143">
        <f>'[1]margins'!F35</f>
        <v>0.10153154370124588</v>
      </c>
      <c r="L35" s="143">
        <f>'[1]margins'!G35</f>
        <v>0.004155566544897666</v>
      </c>
      <c r="M35" s="143">
        <f>'[1]Cap Ex'!E35</f>
        <v>0.36778943122226704</v>
      </c>
      <c r="N35" s="143">
        <f>'[1]wc data'!G35</f>
        <v>-0.028355161357219202</v>
      </c>
      <c r="O35" s="143">
        <f>'[1]Div Fundas'!D35</f>
        <v>0.010319218241042346</v>
      </c>
      <c r="P35" s="143">
        <f>'[1]FundGREB'!D35</f>
        <v>-0.5107272888696975</v>
      </c>
      <c r="Q35" s="142">
        <f>'[1]Mgn &amp; ROC'!D35</f>
        <v>1.3152268554943614</v>
      </c>
      <c r="R35" s="142">
        <f>'[1]ps'!H35</f>
        <v>2.2900840684671464</v>
      </c>
    </row>
    <row r="36" spans="1:18" ht="12.75">
      <c r="A36" t="str">
        <f>'[1]Master'!A36</f>
        <v>Environmental</v>
      </c>
      <c r="B36" s="57">
        <f>'[1]Master'!B36</f>
        <v>77</v>
      </c>
      <c r="C36" s="142">
        <f>'[1]Betas'!C36</f>
        <v>0.7523255813953489</v>
      </c>
      <c r="D36" s="142">
        <f>'[1]Betas'!H36</f>
        <v>0.517438602134269</v>
      </c>
      <c r="E36" s="143">
        <f>'[1]Betas'!D36</f>
        <v>0.5991004931954922</v>
      </c>
      <c r="F36" s="143">
        <f>'[1]Debt Fundas'!C36</f>
        <v>0.3746484325061436</v>
      </c>
      <c r="G36" s="143">
        <f>'[1]roe'!E36</f>
        <v>0.13444778198598234</v>
      </c>
      <c r="H36" s="143">
        <f>'[1]roe'!C36</f>
        <v>0.11904283651574016</v>
      </c>
      <c r="I36" s="143">
        <f>'[1]Betas'!E36</f>
        <v>0.18804558441558442</v>
      </c>
      <c r="J36" s="143">
        <f>'[1]margins'!E36</f>
        <v>0.24390119557000012</v>
      </c>
      <c r="K36" s="143">
        <f>'[1]margins'!F36</f>
        <v>0.15116316510400832</v>
      </c>
      <c r="L36" s="143">
        <f>'[1]margins'!G36</f>
        <v>0.02794079824171713</v>
      </c>
      <c r="M36" s="143">
        <f>'[1]Cap Ex'!E36</f>
        <v>1.0895279912184412</v>
      </c>
      <c r="N36" s="143">
        <f>'[1]wc data'!G36</f>
        <v>-0.0077119720669955654</v>
      </c>
      <c r="O36" s="143">
        <f>'[1]Div Fundas'!D36</f>
        <v>0.045127574148426365</v>
      </c>
      <c r="P36" s="143">
        <f>'[1]FundGREB'!D36</f>
        <v>0.04937570617088244</v>
      </c>
      <c r="Q36" s="142">
        <f>'[1]Mgn &amp; ROC'!D36</f>
        <v>0.7875121987147619</v>
      </c>
      <c r="R36" s="142">
        <f>'[1]ps'!H36</f>
        <v>2.1467184175454186</v>
      </c>
    </row>
    <row r="37" spans="1:18" ht="12.75">
      <c r="A37" t="str">
        <f>'[1]Master'!A37</f>
        <v>Financial Svcs. (Div.)</v>
      </c>
      <c r="B37" s="57">
        <f>'[1]Master'!B37</f>
        <v>231</v>
      </c>
      <c r="C37" s="142">
        <f>'[1]Betas'!C37</f>
        <v>0.9</v>
      </c>
      <c r="D37" s="142">
        <f>'[1]Betas'!H37</f>
        <v>0.512138504374639</v>
      </c>
      <c r="E37" s="143">
        <f>'[1]Betas'!D37</f>
        <v>1.129685563310787</v>
      </c>
      <c r="F37" s="143">
        <f>'[1]Debt Fundas'!C37</f>
        <v>0.5304471151856753</v>
      </c>
      <c r="G37" s="143">
        <f>'[1]roe'!E37</f>
        <v>0.1509638595315444</v>
      </c>
      <c r="H37" s="143">
        <f>'[1]roe'!C37</f>
        <v>0.10537890039129444</v>
      </c>
      <c r="I37" s="143">
        <f>'[1]Betas'!E37</f>
        <v>0.23332653679653667</v>
      </c>
      <c r="J37" s="143">
        <f>'[1]margins'!E37</f>
        <v>1.8118766171722205</v>
      </c>
      <c r="K37" s="143">
        <f>'[1]margins'!F37</f>
        <v>1.190594289000739</v>
      </c>
      <c r="L37" s="143">
        <f>'[1]margins'!G37</f>
        <v>0.3591196816251697</v>
      </c>
      <c r="M37" s="143">
        <f>'[1]Cap Ex'!E37</f>
        <v>1.1774334600760457</v>
      </c>
      <c r="N37" s="143">
        <f>'[1]wc data'!G37</f>
        <v>0.40920169633069203</v>
      </c>
      <c r="O37" s="143">
        <f>'[1]Div Fundas'!D37</f>
        <v>0.30541435445174747</v>
      </c>
      <c r="P37" s="143">
        <f>'[1]FundGREB'!D37</f>
        <v>0.05245683393747053</v>
      </c>
      <c r="Q37" s="142">
        <f>'[1]Mgn &amp; ROC'!D37</f>
        <v>0.08850949594234869</v>
      </c>
      <c r="R37" s="142">
        <f>'[1]ps'!H37</f>
        <v>15.244576556579268</v>
      </c>
    </row>
    <row r="38" spans="1:18" ht="12.75">
      <c r="A38" t="str">
        <f>'[1]Master'!A38</f>
        <v>Food Processing</v>
      </c>
      <c r="B38" s="57">
        <f>'[1]Master'!B38</f>
        <v>104</v>
      </c>
      <c r="C38" s="142">
        <f>'[1]Betas'!C38</f>
        <v>0.638125</v>
      </c>
      <c r="D38" s="142">
        <f>'[1]Betas'!H38</f>
        <v>0.5346895973440375</v>
      </c>
      <c r="E38" s="143">
        <f>'[1]Betas'!D38</f>
        <v>0.3328529222093912</v>
      </c>
      <c r="F38" s="143">
        <f>'[1]Debt Fundas'!C38</f>
        <v>0.2497296713411114</v>
      </c>
      <c r="G38" s="143">
        <f>'[1]roe'!E38</f>
        <v>0.1986821862033598</v>
      </c>
      <c r="H38" s="143">
        <f>'[1]roe'!C38</f>
        <v>0.14721035043420266</v>
      </c>
      <c r="I38" s="143">
        <f>'[1]Betas'!E38</f>
        <v>0.2897114423076922</v>
      </c>
      <c r="J38" s="143">
        <f>'[1]margins'!E38</f>
        <v>0.15040727889363703</v>
      </c>
      <c r="K38" s="143">
        <f>'[1]margins'!F38</f>
        <v>0.09843210331465838</v>
      </c>
      <c r="L38" s="143">
        <f>'[1]margins'!G38</f>
        <v>0.04215351315112645</v>
      </c>
      <c r="M38" s="143">
        <f>'[1]Cap Ex'!E38</f>
        <v>0.879741964689905</v>
      </c>
      <c r="N38" s="143">
        <f>'[1]wc data'!G38</f>
        <v>0.055944181246102793</v>
      </c>
      <c r="O38" s="143">
        <f>'[1]Div Fundas'!D38</f>
        <v>0.43738880581563866</v>
      </c>
      <c r="P38" s="143">
        <f>'[1]FundGREB'!D38</f>
        <v>-0.021146119536218755</v>
      </c>
      <c r="Q38" s="142">
        <f>'[1]Mgn &amp; ROC'!D38</f>
        <v>1.4955522179955316</v>
      </c>
      <c r="R38" s="142">
        <f>'[1]ps'!H38</f>
        <v>1.41886421814104</v>
      </c>
    </row>
    <row r="39" spans="1:18" ht="12.75">
      <c r="A39" t="str">
        <f>'[1]Master'!A39</f>
        <v>Food Wholesalers</v>
      </c>
      <c r="B39" s="57">
        <f>'[1]Master'!B39</f>
        <v>22</v>
      </c>
      <c r="C39" s="142">
        <f>'[1]Betas'!C39</f>
        <v>0.6725</v>
      </c>
      <c r="D39" s="142">
        <f>'[1]Betas'!H39</f>
        <v>0.5899203050417582</v>
      </c>
      <c r="E39" s="143">
        <f>'[1]Betas'!D39</f>
        <v>0.25088924412774444</v>
      </c>
      <c r="F39" s="143">
        <f>'[1]Debt Fundas'!C39</f>
        <v>0.20056871166295112</v>
      </c>
      <c r="G39" s="143">
        <f>'[1]roe'!E39</f>
        <v>0.17511601130456023</v>
      </c>
      <c r="H39" s="143">
        <f>'[1]roe'!C39</f>
        <v>0.14636100726406406</v>
      </c>
      <c r="I39" s="143">
        <f>'[1]Betas'!E39</f>
        <v>0.22380636363636366</v>
      </c>
      <c r="J39" s="143">
        <f>'[1]margins'!E39</f>
        <v>0.05800023881787764</v>
      </c>
      <c r="K39" s="143">
        <f>'[1]margins'!F39</f>
        <v>0.037402128205683664</v>
      </c>
      <c r="L39" s="143">
        <f>'[1]margins'!G39</f>
        <v>0.021461487722579827</v>
      </c>
      <c r="M39" s="143">
        <f>'[1]Cap Ex'!E39</f>
        <v>2.65952366374824</v>
      </c>
      <c r="N39" s="143">
        <f>'[1]wc data'!G39</f>
        <v>0.003413071263643134</v>
      </c>
      <c r="O39" s="143">
        <f>'[1]Div Fundas'!D39</f>
        <v>0.13756525204223952</v>
      </c>
      <c r="P39" s="143">
        <f>'[1]FundGREB'!D39</f>
        <v>0.5521472643578232</v>
      </c>
      <c r="Q39" s="142">
        <f>'[1]Mgn &amp; ROC'!D39</f>
        <v>3.913173241351087</v>
      </c>
      <c r="R39" s="142">
        <f>'[1]ps'!H39</f>
        <v>0.6045961796609637</v>
      </c>
    </row>
    <row r="40" spans="1:18" ht="12.75">
      <c r="A40" t="str">
        <f>'[1]Master'!A40</f>
        <v>Foreign Electronics</v>
      </c>
      <c r="B40" s="57">
        <f>'[1]Master'!B40</f>
        <v>13</v>
      </c>
      <c r="C40" s="142">
        <f>'[1]Betas'!C40</f>
        <v>1.1625</v>
      </c>
      <c r="D40" s="142">
        <f>'[1]Betas'!H40</f>
        <v>1.1826483506485583</v>
      </c>
      <c r="E40" s="143">
        <f>'[1]Betas'!D40</f>
        <v>0.332370601337909</v>
      </c>
      <c r="F40" s="143">
        <f>'[1]Debt Fundas'!C40</f>
        <v>0.249458071953972</v>
      </c>
      <c r="G40" s="143">
        <f>'[1]roe'!E40</f>
        <v>0.02978901298623738</v>
      </c>
      <c r="H40" s="143">
        <f>'[1]roe'!C40</f>
        <v>0.06358152824654807</v>
      </c>
      <c r="I40" s="143">
        <f>'[1]Betas'!E40</f>
        <v>0.4673107692307692</v>
      </c>
      <c r="J40" s="143">
        <f>'[1]margins'!E40</f>
        <v>0.08694558005266073</v>
      </c>
      <c r="K40" s="143">
        <f>'[1]margins'!F40</f>
        <v>0.03742697372712027</v>
      </c>
      <c r="L40" s="143">
        <f>'[1]margins'!G40</f>
        <v>0.004646901871835093</v>
      </c>
      <c r="M40" s="143">
        <f>'[1]Cap Ex'!E40</f>
        <v>0.8175496762421841</v>
      </c>
      <c r="N40" s="143">
        <f>'[1]wc data'!G40</f>
        <v>0.10328791463019113</v>
      </c>
      <c r="O40" s="143">
        <f>'[1]Div Fundas'!D40</f>
        <v>0.4873322315840806</v>
      </c>
      <c r="P40" s="143">
        <f>'[1]FundGREB'!D40</f>
        <v>-0.17957480146828492</v>
      </c>
      <c r="Q40" s="142">
        <f>'[1]Mgn &amp; ROC'!D40</f>
        <v>1.6988156378904804</v>
      </c>
      <c r="R40" s="142">
        <f>'[1]ps'!H40</f>
        <v>0.7352221938630399</v>
      </c>
    </row>
    <row r="41" spans="1:18" ht="12.75">
      <c r="A41" t="str">
        <f>'[1]Master'!A41</f>
        <v>Foreign Telecom.</v>
      </c>
      <c r="B41" s="57">
        <f>'[1]Master'!B41</f>
        <v>19</v>
      </c>
      <c r="C41" s="142">
        <f>'[1]Betas'!C41</f>
        <v>1.5811764705882352</v>
      </c>
      <c r="D41" s="142">
        <f>'[1]Betas'!H41</f>
        <v>1.4061511124670911</v>
      </c>
      <c r="E41" s="143">
        <f>'[1]Betas'!D41</f>
        <v>0.31878181024627766</v>
      </c>
      <c r="F41" s="143">
        <f>'[1]Debt Fundas'!C41</f>
        <v>0.24172445189151218</v>
      </c>
      <c r="G41" s="143">
        <f>'[1]roe'!E41</f>
        <v>-0.07091517231816677</v>
      </c>
      <c r="H41" s="143">
        <f>'[1]roe'!C41</f>
        <v>0.09044220673422587</v>
      </c>
      <c r="I41" s="143">
        <f>'[1]Betas'!E41</f>
        <v>0.32652263157894734</v>
      </c>
      <c r="J41" s="143">
        <f>'[1]margins'!E41</f>
        <v>0.22929246221653077</v>
      </c>
      <c r="K41" s="143">
        <f>'[1]margins'!F41</f>
        <v>0.19005539472455593</v>
      </c>
      <c r="L41" s="143">
        <f>'[1]margins'!G41</f>
        <v>0.010039366526133582</v>
      </c>
      <c r="M41" s="143">
        <f>'[1]Cap Ex'!E41</f>
        <v>0.37673354529092645</v>
      </c>
      <c r="N41" s="143">
        <f>'[1]wc data'!G41</f>
        <v>-0.027493795279940177</v>
      </c>
      <c r="O41" s="143" t="str">
        <f>'[1]Div Fundas'!D41</f>
        <v>NA</v>
      </c>
      <c r="P41" s="143">
        <f>'[1]FundGREB'!D41</f>
        <v>-1.0136251596005126</v>
      </c>
      <c r="Q41" s="142">
        <f>'[1]Mgn &amp; ROC'!D41</f>
        <v>0.47587287309209103</v>
      </c>
      <c r="R41" s="142">
        <f>'[1]ps'!H41</f>
        <v>2.7380372291050215</v>
      </c>
    </row>
    <row r="42" spans="1:18" ht="12.75">
      <c r="A42" t="str">
        <f>'[1]Master'!A42</f>
        <v>Furn/Home Furnishings</v>
      </c>
      <c r="B42" s="57">
        <f>'[1]Master'!B42</f>
        <v>36</v>
      </c>
      <c r="C42" s="142">
        <f>'[1]Betas'!C42</f>
        <v>0.7625</v>
      </c>
      <c r="D42" s="142">
        <f>'[1]Betas'!H42</f>
        <v>0.7213617294900797</v>
      </c>
      <c r="E42" s="143">
        <f>'[1]Betas'!D42</f>
        <v>0.1514365584718124</v>
      </c>
      <c r="F42" s="143">
        <f>'[1]Debt Fundas'!C42</f>
        <v>0.13151967197636935</v>
      </c>
      <c r="G42" s="143">
        <f>'[1]roe'!E42</f>
        <v>0.11386908921500116</v>
      </c>
      <c r="H42" s="143">
        <f>'[1]roe'!C42</f>
        <v>0.1455950611293729</v>
      </c>
      <c r="I42" s="143">
        <f>'[1]Betas'!E42</f>
        <v>0.2885066666666667</v>
      </c>
      <c r="J42" s="143">
        <f>'[1]margins'!E42</f>
        <v>0.11274279694051709</v>
      </c>
      <c r="K42" s="143">
        <f>'[1]margins'!F42</f>
        <v>0.07481819289632456</v>
      </c>
      <c r="L42" s="143">
        <f>'[1]margins'!G42</f>
        <v>0.02965015416815918</v>
      </c>
      <c r="M42" s="143">
        <f>'[1]Cap Ex'!E42</f>
        <v>0.7503838561087959</v>
      </c>
      <c r="N42" s="143">
        <f>'[1]wc data'!G42</f>
        <v>0.13666182037829144</v>
      </c>
      <c r="O42" s="143">
        <f>'[1]Div Fundas'!D42</f>
        <v>0.24007773504623192</v>
      </c>
      <c r="P42" s="143">
        <f>'[1]FundGREB'!D42</f>
        <v>0.09028852259539366</v>
      </c>
      <c r="Q42" s="142">
        <f>'[1]Mgn &amp; ROC'!D42</f>
        <v>1.9459847330330968</v>
      </c>
      <c r="R42" s="142">
        <f>'[1]ps'!H42</f>
        <v>0.9937911319946339</v>
      </c>
    </row>
    <row r="43" spans="1:18" ht="12.75">
      <c r="A43" t="str">
        <f>'[1]Master'!A43</f>
        <v>Grocery</v>
      </c>
      <c r="B43" s="57">
        <f>'[1]Master'!B43</f>
        <v>25</v>
      </c>
      <c r="C43" s="142">
        <f>'[1]Betas'!C43</f>
        <v>0.7195652173913044</v>
      </c>
      <c r="D43" s="142">
        <f>'[1]Betas'!H43</f>
        <v>0.47852875296201713</v>
      </c>
      <c r="E43" s="143">
        <f>'[1]Betas'!D43</f>
        <v>0.8201867282401366</v>
      </c>
      <c r="F43" s="143">
        <f>'[1]Debt Fundas'!C43</f>
        <v>0.450605817257629</v>
      </c>
      <c r="G43" s="143">
        <f>'[1]roe'!E43</f>
        <v>0.12632987392779643</v>
      </c>
      <c r="H43" s="143">
        <f>'[1]roe'!C43</f>
        <v>0.1254857889629365</v>
      </c>
      <c r="I43" s="143">
        <f>'[1]Betas'!E43</f>
        <v>0.3211864</v>
      </c>
      <c r="J43" s="143">
        <f>'[1]margins'!E43</f>
        <v>0.06770063263362205</v>
      </c>
      <c r="K43" s="143">
        <f>'[1]margins'!F43</f>
        <v>0.03872649494277489</v>
      </c>
      <c r="L43" s="143">
        <f>'[1]margins'!G43</f>
        <v>0.013407507376219954</v>
      </c>
      <c r="M43" s="143">
        <f>'[1]Cap Ex'!E43</f>
        <v>1.5880074232896704</v>
      </c>
      <c r="N43" s="143">
        <f>'[1]wc data'!G43</f>
        <v>0.009496473987340569</v>
      </c>
      <c r="O43" s="143">
        <f>'[1]Div Fundas'!D43</f>
        <v>0.15584080800137615</v>
      </c>
      <c r="P43" s="143">
        <f>'[1]FundGREB'!D43</f>
        <v>0.37149190546100314</v>
      </c>
      <c r="Q43" s="142">
        <f>'[1]Mgn &amp; ROC'!D43</f>
        <v>3.240308454156863</v>
      </c>
      <c r="R43" s="142">
        <f>'[1]ps'!H43</f>
        <v>0.36987798876829275</v>
      </c>
    </row>
    <row r="44" spans="1:18" ht="12.75">
      <c r="A44" t="str">
        <f>'[1]Master'!A44</f>
        <v>Healthcare Information</v>
      </c>
      <c r="B44" s="57">
        <f>'[1]Master'!B44</f>
        <v>35</v>
      </c>
      <c r="C44" s="142">
        <f>'[1]Betas'!C44</f>
        <v>1.0034482758620689</v>
      </c>
      <c r="D44" s="142">
        <f>'[1]Betas'!H44</f>
        <v>1.0472331229044063</v>
      </c>
      <c r="E44" s="143">
        <f>'[1]Betas'!D44</f>
        <v>0.132397146824755</v>
      </c>
      <c r="F44" s="143">
        <f>'[1]Debt Fundas'!C44</f>
        <v>0.11691759132032169</v>
      </c>
      <c r="G44" s="143">
        <f>'[1]roe'!E44</f>
        <v>0.01276644033816882</v>
      </c>
      <c r="H44" s="143">
        <f>'[1]roe'!C44</f>
        <v>0.08793068643702769</v>
      </c>
      <c r="I44" s="143">
        <f>'[1]Betas'!E44</f>
        <v>0.1335802857142857</v>
      </c>
      <c r="J44" s="143">
        <f>'[1]margins'!E44</f>
        <v>0.1479472668302694</v>
      </c>
      <c r="K44" s="143">
        <f>'[1]margins'!F44</f>
        <v>0.09667820037025877</v>
      </c>
      <c r="L44" s="143">
        <f>'[1]margins'!G44</f>
        <v>-0.007577388384208033</v>
      </c>
      <c r="M44" s="143">
        <f>'[1]Cap Ex'!E44</f>
        <v>0.6914765906362544</v>
      </c>
      <c r="N44" s="143">
        <f>'[1]wc data'!G44</f>
        <v>-0.0012341958353066075</v>
      </c>
      <c r="O44" s="143">
        <f>'[1]Div Fundas'!D44</f>
        <v>0.46380740740740745</v>
      </c>
      <c r="P44" s="143">
        <f>'[1]FundGREB'!D44</f>
        <v>-0.2679825741664208</v>
      </c>
      <c r="Q44" s="142">
        <f>'[1]Mgn &amp; ROC'!D44</f>
        <v>0.9095192721861826</v>
      </c>
      <c r="R44" s="142">
        <f>'[1]ps'!H44</f>
        <v>2.504814798869132</v>
      </c>
    </row>
    <row r="45" spans="1:18" ht="12.75">
      <c r="A45" t="str">
        <f>'[1]Master'!A45</f>
        <v>Home Appliance</v>
      </c>
      <c r="B45" s="57">
        <f>'[1]Master'!B45</f>
        <v>15</v>
      </c>
      <c r="C45" s="142">
        <f>'[1]Betas'!C45</f>
        <v>0.8730769230769231</v>
      </c>
      <c r="D45" s="142">
        <f>'[1]Betas'!H45</f>
        <v>0.7729295184169591</v>
      </c>
      <c r="E45" s="143">
        <f>'[1]Betas'!D45</f>
        <v>0.3294535653026219</v>
      </c>
      <c r="F45" s="143">
        <f>'[1]Debt Fundas'!C45</f>
        <v>0.24781126163487235</v>
      </c>
      <c r="G45" s="143">
        <f>'[1]roe'!E45</f>
        <v>0.25342029127641835</v>
      </c>
      <c r="H45" s="143">
        <f>'[1]roe'!C45</f>
        <v>0.2153815111898462</v>
      </c>
      <c r="I45" s="143">
        <f>'[1]Betas'!E45</f>
        <v>0.27991200000000005</v>
      </c>
      <c r="J45" s="143">
        <f>'[1]margins'!E45</f>
        <v>0.11071923331446386</v>
      </c>
      <c r="K45" s="143">
        <f>'[1]margins'!F45</f>
        <v>0.07657864275292411</v>
      </c>
      <c r="L45" s="143">
        <f>'[1]margins'!G45</f>
        <v>0.02217296668075234</v>
      </c>
      <c r="M45" s="143">
        <f>'[1]Cap Ex'!E45</f>
        <v>1.0553907022749753</v>
      </c>
      <c r="N45" s="143">
        <f>'[1]wc data'!G45</f>
        <v>0.09471149629653254</v>
      </c>
      <c r="O45" s="143">
        <f>'[1]Div Fundas'!D45</f>
        <v>0.24571787925696595</v>
      </c>
      <c r="P45" s="143">
        <f>'[1]FundGREB'!D45</f>
        <v>0.08516122647496087</v>
      </c>
      <c r="Q45" s="142">
        <f>'[1]Mgn &amp; ROC'!D45</f>
        <v>2.812553258285868</v>
      </c>
      <c r="R45" s="142">
        <f>'[1]ps'!H45</f>
        <v>0.7108783875365762</v>
      </c>
    </row>
    <row r="46" spans="1:18" ht="12.75">
      <c r="A46" t="str">
        <f>'[1]Master'!A46</f>
        <v>Homebuilding</v>
      </c>
      <c r="B46" s="57">
        <f>'[1]Master'!B46</f>
        <v>44</v>
      </c>
      <c r="C46" s="142">
        <f>'[1]Betas'!C46</f>
        <v>0.7965116279069769</v>
      </c>
      <c r="D46" s="142">
        <f>'[1]Betas'!H46</f>
        <v>0.615093230742894</v>
      </c>
      <c r="E46" s="143">
        <f>'[1]Betas'!D46</f>
        <v>0.5179040795016743</v>
      </c>
      <c r="F46" s="143">
        <f>'[1]Debt Fundas'!C46</f>
        <v>0.3411968427357422</v>
      </c>
      <c r="G46" s="143">
        <f>'[1]roe'!E46</f>
        <v>0.18832764639750693</v>
      </c>
      <c r="H46" s="143">
        <f>'[1]roe'!C46</f>
        <v>0.10731357883133044</v>
      </c>
      <c r="I46" s="143">
        <f>'[1]Betas'!E46</f>
        <v>0.25128750000000005</v>
      </c>
      <c r="J46" s="143">
        <f>'[1]margins'!E46</f>
        <v>0.13923279332453212</v>
      </c>
      <c r="K46" s="143">
        <f>'[1]margins'!F46</f>
        <v>0.0950914492768638</v>
      </c>
      <c r="L46" s="143">
        <f>'[1]margins'!G46</f>
        <v>0.06735852519284619</v>
      </c>
      <c r="M46" s="143">
        <f>'[1]Cap Ex'!E46</f>
        <v>1.5829346092503986</v>
      </c>
      <c r="N46" s="143">
        <f>'[1]wc data'!G46</f>
        <v>0.4417317380725445</v>
      </c>
      <c r="O46" s="143">
        <f>'[1]Div Fundas'!D46</f>
        <v>0.10014159440325082</v>
      </c>
      <c r="P46" s="143">
        <f>'[1]FundGREB'!D46</f>
        <v>0.5775882762271453</v>
      </c>
      <c r="Q46" s="142">
        <f>'[1]Mgn &amp; ROC'!D46</f>
        <v>1.1285302689927594</v>
      </c>
      <c r="R46" s="142">
        <f>'[1]ps'!H46</f>
        <v>1.397273513027108</v>
      </c>
    </row>
    <row r="47" spans="1:18" ht="12.75">
      <c r="A47" t="str">
        <f>'[1]Master'!A47</f>
        <v>Hotel/Gaming</v>
      </c>
      <c r="B47" s="57">
        <f>'[1]Master'!B47</f>
        <v>80</v>
      </c>
      <c r="C47" s="142">
        <f>'[1]Betas'!C47</f>
        <v>0.8419642857142858</v>
      </c>
      <c r="D47" s="142">
        <f>'[1]Betas'!H47</f>
        <v>0.557834154723622</v>
      </c>
      <c r="E47" s="143">
        <f>'[1]Betas'!D47</f>
        <v>0.6598873840237459</v>
      </c>
      <c r="F47" s="143">
        <f>'[1]Debt Fundas'!C47</f>
        <v>0.39754949063117034</v>
      </c>
      <c r="G47" s="143">
        <f>'[1]roe'!E47</f>
        <v>0.07992381448116362</v>
      </c>
      <c r="H47" s="143">
        <f>'[1]roe'!C47</f>
        <v>0.10318481815749381</v>
      </c>
      <c r="I47" s="143">
        <f>'[1]Betas'!E47</f>
        <v>0.15106237499999994</v>
      </c>
      <c r="J47" s="143">
        <f>'[1]margins'!E47</f>
        <v>0.23179791692700563</v>
      </c>
      <c r="K47" s="143">
        <f>'[1]margins'!F47</f>
        <v>0.16887596619706077</v>
      </c>
      <c r="L47" s="143">
        <f>'[1]margins'!G47</f>
        <v>0.01880235074660654</v>
      </c>
      <c r="M47" s="143">
        <f>'[1]Cap Ex'!E47</f>
        <v>0.9685103292101946</v>
      </c>
      <c r="N47" s="143">
        <f>'[1]wc data'!G47</f>
        <v>-0.043333061675404995</v>
      </c>
      <c r="O47" s="143">
        <f>'[1]Div Fundas'!D47</f>
        <v>0.27943901716992303</v>
      </c>
      <c r="P47" s="143">
        <f>'[1]FundGREB'!D47</f>
        <v>-0.04196778589474279</v>
      </c>
      <c r="Q47" s="142">
        <f>'[1]Mgn &amp; ROC'!D47</f>
        <v>0.6110094910550374</v>
      </c>
      <c r="R47" s="142">
        <f>'[1]ps'!H47</f>
        <v>2.492495902492914</v>
      </c>
    </row>
    <row r="48" spans="1:18" ht="12.75">
      <c r="A48" t="str">
        <f>'[1]Master'!A48</f>
        <v>Household Products</v>
      </c>
      <c r="B48" s="57">
        <f>'[1]Master'!B48</f>
        <v>32</v>
      </c>
      <c r="C48" s="142">
        <f>'[1]Betas'!C48</f>
        <v>0.7625</v>
      </c>
      <c r="D48" s="142">
        <f>'[1]Betas'!H48</f>
        <v>0.7219710933033853</v>
      </c>
      <c r="E48" s="143">
        <f>'[1]Betas'!D48</f>
        <v>0.13159231647110692</v>
      </c>
      <c r="F48" s="143">
        <f>'[1]Debt Fundas'!C48</f>
        <v>0.11628951041438684</v>
      </c>
      <c r="G48" s="143">
        <f>'[1]roe'!E48</f>
        <v>0.37410811986316733</v>
      </c>
      <c r="H48" s="143">
        <f>'[1]roe'!C48</f>
        <v>0.2397285529322688</v>
      </c>
      <c r="I48" s="143">
        <f>'[1]Betas'!E48</f>
        <v>0.2870178124999999</v>
      </c>
      <c r="J48" s="143">
        <f>'[1]margins'!E48</f>
        <v>0.20827748583739178</v>
      </c>
      <c r="K48" s="143">
        <f>'[1]margins'!F48</f>
        <v>0.1442425384561901</v>
      </c>
      <c r="L48" s="143">
        <f>'[1]margins'!G48</f>
        <v>0.09854311150868228</v>
      </c>
      <c r="M48" s="143">
        <f>'[1]Cap Ex'!E48</f>
        <v>0.8909652062787837</v>
      </c>
      <c r="N48" s="143">
        <f>'[1]wc data'!G48</f>
        <v>0.009110352635713538</v>
      </c>
      <c r="O48" s="143">
        <f>'[1]Div Fundas'!D48</f>
        <v>0.387312369669121</v>
      </c>
      <c r="P48" s="143">
        <f>'[1]FundGREB'!D48</f>
        <v>-0.025657419036739862</v>
      </c>
      <c r="Q48" s="142">
        <f>'[1]Mgn &amp; ROC'!D48</f>
        <v>1.6619823492989907</v>
      </c>
      <c r="R48" s="142">
        <f>'[1]ps'!H48</f>
        <v>2.499685044763078</v>
      </c>
    </row>
    <row r="49" spans="1:18" ht="12.75">
      <c r="A49" t="str">
        <f>'[1]Master'!A49</f>
        <v>Human Resources</v>
      </c>
      <c r="B49" s="57">
        <f>'[1]Master'!B49</f>
        <v>27</v>
      </c>
      <c r="C49" s="142">
        <f>'[1]Betas'!C49</f>
        <v>0.9770833333333333</v>
      </c>
      <c r="D49" s="142">
        <f>'[1]Betas'!H49</f>
        <v>0.9879845746036331</v>
      </c>
      <c r="E49" s="143">
        <f>'[1]Betas'!D49</f>
        <v>0.11132768054140159</v>
      </c>
      <c r="F49" s="143">
        <f>'[1]Debt Fundas'!C49</f>
        <v>0.10017538705340849</v>
      </c>
      <c r="G49" s="143">
        <f>'[1]roe'!E49</f>
        <v>0.04610026446233218</v>
      </c>
      <c r="H49" s="143">
        <f>'[1]roe'!C49</f>
        <v>0.09899834113041298</v>
      </c>
      <c r="I49" s="143">
        <f>'[1]Betas'!E49</f>
        <v>0.2511977777777778</v>
      </c>
      <c r="J49" s="143">
        <f>'[1]margins'!E49</f>
        <v>0.03959568088633225</v>
      </c>
      <c r="K49" s="143">
        <f>'[1]margins'!F49</f>
        <v>0.024154487881843656</v>
      </c>
      <c r="L49" s="143">
        <f>'[1]margins'!G49</f>
        <v>0.0005640683161230414</v>
      </c>
      <c r="M49" s="143">
        <f>'[1]Cap Ex'!E49</f>
        <v>0.6933380331335918</v>
      </c>
      <c r="N49" s="143">
        <f>'[1]wc data'!G49</f>
        <v>0.05947993965533298</v>
      </c>
      <c r="O49" s="143">
        <f>'[1]Div Fundas'!D49</f>
        <v>0.17230094043887148</v>
      </c>
      <c r="P49" s="143">
        <f>'[1]FundGREB'!D49</f>
        <v>0.13153351806621058</v>
      </c>
      <c r="Q49" s="142">
        <f>'[1]Mgn &amp; ROC'!D49</f>
        <v>4.098548543636383</v>
      </c>
      <c r="R49" s="142">
        <f>'[1]ps'!H49</f>
        <v>0.5456349892640772</v>
      </c>
    </row>
    <row r="50" spans="1:18" ht="12.75">
      <c r="A50" t="str">
        <f>'[1]Master'!A50</f>
        <v>Industrial Services</v>
      </c>
      <c r="B50" s="57">
        <f>'[1]Master'!B50</f>
        <v>190</v>
      </c>
      <c r="C50" s="142">
        <f>'[1]Betas'!C50</f>
        <v>0.7948905109489052</v>
      </c>
      <c r="D50" s="142">
        <f>'[1]Betas'!H50</f>
        <v>0.7113654273977066</v>
      </c>
      <c r="E50" s="143">
        <f>'[1]Betas'!D50</f>
        <v>0.26833764005148103</v>
      </c>
      <c r="F50" s="143">
        <f>'[1]Debt Fundas'!C50</f>
        <v>0.21156640911531208</v>
      </c>
      <c r="G50" s="143">
        <f>'[1]roe'!E50</f>
        <v>0.09510831257929608</v>
      </c>
      <c r="H50" s="143">
        <f>'[1]roe'!C50</f>
        <v>0.13510503252212705</v>
      </c>
      <c r="I50" s="143">
        <f>'[1]Betas'!E50</f>
        <v>0.2561272105263157</v>
      </c>
      <c r="J50" s="143">
        <f>'[1]margins'!E50</f>
        <v>0.10536747407072057</v>
      </c>
      <c r="K50" s="143">
        <f>'[1]margins'!F50</f>
        <v>0.06790535364890289</v>
      </c>
      <c r="L50" s="143">
        <f>'[1]margins'!G50</f>
        <v>0.018808883147833428</v>
      </c>
      <c r="M50" s="143">
        <f>'[1]Cap Ex'!E50</f>
        <v>0.9992925747558021</v>
      </c>
      <c r="N50" s="143">
        <f>'[1]wc data'!G50</f>
        <v>0.07580884329200932</v>
      </c>
      <c r="O50" s="143">
        <f>'[1]Div Fundas'!D50</f>
        <v>0.23672278808148375</v>
      </c>
      <c r="P50" s="143">
        <f>'[1]FundGREB'!D50</f>
        <v>0.09650883677407432</v>
      </c>
      <c r="Q50" s="142">
        <f>'[1]Mgn &amp; ROC'!D50</f>
        <v>1.9896079655320353</v>
      </c>
      <c r="R50" s="142">
        <f>'[1]ps'!H50</f>
        <v>0.9681194284879217</v>
      </c>
    </row>
    <row r="51" spans="1:18" ht="12.75">
      <c r="A51" t="str">
        <f>'[1]Master'!A51</f>
        <v>Information Services</v>
      </c>
      <c r="B51" s="57">
        <f>'[1]Master'!B51</f>
        <v>29</v>
      </c>
      <c r="C51" s="142">
        <f>'[1]Betas'!C51</f>
        <v>1.0425</v>
      </c>
      <c r="D51" s="142">
        <f>'[1]Betas'!H51</f>
        <v>0.9824149242789454</v>
      </c>
      <c r="E51" s="143">
        <f>'[1]Betas'!D51</f>
        <v>0.11702707783420828</v>
      </c>
      <c r="F51" s="143">
        <f>'[1]Debt Fundas'!C51</f>
        <v>0.10476655414755999</v>
      </c>
      <c r="G51" s="143">
        <f>'[1]roe'!E51</f>
        <v>0.1399394672141124</v>
      </c>
      <c r="H51" s="143">
        <f>'[1]roe'!C51</f>
        <v>0.16628588653589504</v>
      </c>
      <c r="I51" s="143">
        <f>'[1]Betas'!E51</f>
        <v>0.22849999999999998</v>
      </c>
      <c r="J51" s="143">
        <f>'[1]margins'!E51</f>
        <v>0.2829890383294245</v>
      </c>
      <c r="K51" s="143">
        <f>'[1]margins'!F51</f>
        <v>0.19554732582379833</v>
      </c>
      <c r="L51" s="143">
        <f>'[1]margins'!G51</f>
        <v>0.06799445668395991</v>
      </c>
      <c r="M51" s="143">
        <f>'[1]Cap Ex'!E51</f>
        <v>0.5345863204805271</v>
      </c>
      <c r="N51" s="143">
        <f>'[1]wc data'!G51</f>
        <v>-0.03808660839078009</v>
      </c>
      <c r="O51" s="143">
        <f>'[1]Div Fundas'!D51</f>
        <v>0.21642583787544942</v>
      </c>
      <c r="P51" s="143">
        <f>'[1]FundGREB'!D51</f>
        <v>-0.22289373309290347</v>
      </c>
      <c r="Q51" s="142">
        <f>'[1]Mgn &amp; ROC'!D51</f>
        <v>0.8503613426333947</v>
      </c>
      <c r="R51" s="142">
        <f>'[1]ps'!H51</f>
        <v>4.144351266197616</v>
      </c>
    </row>
    <row r="52" spans="1:18" ht="12.75">
      <c r="A52" t="str">
        <f>'[1]Master'!A52</f>
        <v>Insurance (Life)</v>
      </c>
      <c r="B52" s="57">
        <f>'[1]Master'!B52</f>
        <v>45</v>
      </c>
      <c r="C52" s="142">
        <f>'[1]Betas'!C52</f>
        <v>0.8847222222222223</v>
      </c>
      <c r="D52" s="142">
        <f>'[1]Betas'!H52</f>
        <v>0.914075211532874</v>
      </c>
      <c r="E52" s="143">
        <f>'[1]Betas'!D52</f>
        <v>0.1565242611739803</v>
      </c>
      <c r="F52" s="143">
        <f>'[1]Debt Fundas'!C52</f>
        <v>0.13534023144062152</v>
      </c>
      <c r="G52" s="143">
        <f>'[1]roe'!E52</f>
        <v>0.0917559281320759</v>
      </c>
      <c r="H52" s="143" t="str">
        <f>'[1]roe'!C52</f>
        <v>NA</v>
      </c>
      <c r="I52" s="143">
        <f>'[1]Betas'!E52</f>
        <v>0.212524</v>
      </c>
      <c r="J52" s="143" t="str">
        <f>'[1]margins'!E52</f>
        <v>NA</v>
      </c>
      <c r="K52" s="143" t="str">
        <f>'[1]margins'!F52</f>
        <v>NA</v>
      </c>
      <c r="L52" s="143" t="str">
        <f>'[1]margins'!G52</f>
        <v>NA</v>
      </c>
      <c r="M52" s="143" t="str">
        <f>'[1]Cap Ex'!E52</f>
        <v>NA</v>
      </c>
      <c r="N52" s="143" t="str">
        <f>'[1]wc data'!G52</f>
        <v>NA</v>
      </c>
      <c r="O52" s="143">
        <f>'[1]Div Fundas'!D52</f>
        <v>0.19603244594512487</v>
      </c>
      <c r="P52" s="143">
        <f>'[1]FundGREB'!D52</f>
        <v>0.004253479174980804</v>
      </c>
      <c r="Q52" s="142" t="str">
        <f>'[1]Mgn &amp; ROC'!D52</f>
        <v>NA</v>
      </c>
      <c r="R52" s="142" t="str">
        <f>'[1]ps'!H52</f>
        <v>NA</v>
      </c>
    </row>
    <row r="53" spans="1:18" ht="12.75">
      <c r="A53" t="str">
        <f>'[1]Master'!A53</f>
        <v>Insurance (Prop/Cas.)</v>
      </c>
      <c r="B53" s="57">
        <f>'[1]Master'!B53</f>
        <v>69</v>
      </c>
      <c r="C53" s="142">
        <f>'[1]Betas'!C53</f>
        <v>0.8146551724137931</v>
      </c>
      <c r="D53" s="142">
        <f>'[1]Betas'!H53</f>
        <v>0.8382851272917785</v>
      </c>
      <c r="E53" s="143">
        <f>'[1]Betas'!D53</f>
        <v>0.07358325461113906</v>
      </c>
      <c r="F53" s="143">
        <f>'[1]Debt Fundas'!C53</f>
        <v>0.06853986804944302</v>
      </c>
      <c r="G53" s="143">
        <f>'[1]roe'!E53</f>
        <v>0.08268711975474262</v>
      </c>
      <c r="H53" s="143" t="str">
        <f>'[1]roe'!C53</f>
        <v>NA</v>
      </c>
      <c r="I53" s="143">
        <f>'[1]Betas'!E53</f>
        <v>0.16401101449275352</v>
      </c>
      <c r="J53" s="143" t="str">
        <f>'[1]margins'!E53</f>
        <v>NA</v>
      </c>
      <c r="K53" s="143" t="str">
        <f>'[1]margins'!F53</f>
        <v>NA</v>
      </c>
      <c r="L53" s="143" t="str">
        <f>'[1]margins'!G53</f>
        <v>NA</v>
      </c>
      <c r="M53" s="143">
        <f>'[1]Cap Ex'!E53</f>
        <v>610</v>
      </c>
      <c r="N53" s="143" t="str">
        <f>'[1]wc data'!G53</f>
        <v>NA</v>
      </c>
      <c r="O53" s="143">
        <f>'[1]Div Fundas'!D53</f>
        <v>0.313895133825035</v>
      </c>
      <c r="P53" s="143">
        <f>'[1]FundGREB'!D53</f>
        <v>3.2859712230215825</v>
      </c>
      <c r="Q53" s="142" t="str">
        <f>'[1]Mgn &amp; ROC'!D53</f>
        <v>NA</v>
      </c>
      <c r="R53" s="142" t="str">
        <f>'[1]ps'!H53</f>
        <v>NA</v>
      </c>
    </row>
    <row r="54" spans="1:18" ht="12.75">
      <c r="A54" t="str">
        <f>'[1]Master'!A54</f>
        <v>Internet</v>
      </c>
      <c r="B54" s="57">
        <f>'[1]Master'!B54</f>
        <v>289</v>
      </c>
      <c r="C54" s="142">
        <f>'[1]Betas'!C54</f>
        <v>2.7160000000000006</v>
      </c>
      <c r="D54" s="142">
        <f>'[1]Betas'!H54</f>
        <v>3.101507269072873</v>
      </c>
      <c r="E54" s="143">
        <f>'[1]Betas'!D54</f>
        <v>0.041546334194237707</v>
      </c>
      <c r="F54" s="143">
        <f>'[1]Debt Fundas'!C54</f>
        <v>0.03988908878103711</v>
      </c>
      <c r="G54" s="143">
        <f>'[1]roe'!E54</f>
        <v>-0.19181110883071814</v>
      </c>
      <c r="H54" s="143">
        <f>'[1]roe'!C54</f>
        <v>0.002127686553396831</v>
      </c>
      <c r="I54" s="143">
        <f>'[1]Betas'!E54</f>
        <v>0.03582031141868513</v>
      </c>
      <c r="J54" s="143">
        <f>'[1]margins'!E54</f>
        <v>0.03149296417936949</v>
      </c>
      <c r="K54" s="143">
        <f>'[1]margins'!F54</f>
        <v>0.002373235073392351</v>
      </c>
      <c r="L54" s="143">
        <f>'[1]margins'!G54</f>
        <v>-0.086614268537721</v>
      </c>
      <c r="M54" s="143">
        <f>'[1]Cap Ex'!E54</f>
        <v>0.4486645338888475</v>
      </c>
      <c r="N54" s="143">
        <f>'[1]wc data'!G54</f>
        <v>-0.4876536236211196</v>
      </c>
      <c r="O54" s="143" t="str">
        <f>'[1]Div Fundas'!D54</f>
        <v>NA</v>
      </c>
      <c r="P54" s="143">
        <f>'[1]FundGREB'!D54</f>
        <v>-65.59628987307823</v>
      </c>
      <c r="Q54" s="142">
        <f>'[1]Mgn &amp; ROC'!D54</f>
        <v>0.8965342612923178</v>
      </c>
      <c r="R54" s="142">
        <f>'[1]ps'!H54</f>
        <v>5.285451449690534</v>
      </c>
    </row>
    <row r="55" spans="1:18" ht="12.75">
      <c r="A55" t="str">
        <f>'[1]Master'!A55</f>
        <v>Investment Co.</v>
      </c>
      <c r="B55" s="57">
        <f>'[1]Master'!B55</f>
        <v>22</v>
      </c>
      <c r="C55" s="142">
        <f>'[1]Betas'!C55</f>
        <v>0.6642857142857144</v>
      </c>
      <c r="D55" s="142">
        <f>'[1]Betas'!H55</f>
        <v>0.461502090758552</v>
      </c>
      <c r="E55" s="143">
        <f>'[1]Betas'!D55</f>
        <v>0.5602968460111317</v>
      </c>
      <c r="F55" s="143">
        <f>'[1]Debt Fundas'!C55</f>
        <v>0.3590963139120095</v>
      </c>
      <c r="G55" s="143">
        <f>'[1]roe'!E55</f>
        <v>0.07741935483870968</v>
      </c>
      <c r="H55" s="143" t="str">
        <f>'[1]roe'!C55</f>
        <v>NA</v>
      </c>
      <c r="I55" s="143">
        <f>'[1]Betas'!E55</f>
        <v>0.019297727272727272</v>
      </c>
      <c r="J55" s="143" t="str">
        <f>'[1]margins'!E55</f>
        <v>NA</v>
      </c>
      <c r="K55" s="143" t="str">
        <f>'[1]margins'!F55</f>
        <v>NA</v>
      </c>
      <c r="L55" s="143" t="str">
        <f>'[1]margins'!G55</f>
        <v>NA</v>
      </c>
      <c r="M55" s="143">
        <f>'[1]Cap Ex'!E55</f>
        <v>0.23529411764705882</v>
      </c>
      <c r="N55" s="143" t="str">
        <f>'[1]wc data'!G55</f>
        <v>NA</v>
      </c>
      <c r="O55" s="143">
        <f>'[1]Div Fundas'!D55</f>
        <v>1.8813333333333333</v>
      </c>
      <c r="P55" s="143">
        <f>'[1]FundGREB'!D55</f>
        <v>-0.34328335743798655</v>
      </c>
      <c r="Q55" s="142" t="str">
        <f>'[1]Mgn &amp; ROC'!D55</f>
        <v>NA</v>
      </c>
      <c r="R55" s="142" t="str">
        <f>'[1]ps'!H55</f>
        <v>NA</v>
      </c>
    </row>
    <row r="56" spans="1:18" ht="12.75">
      <c r="A56" t="str">
        <f>'[1]Master'!A56</f>
        <v>Investment Co.(Foreign)</v>
      </c>
      <c r="B56" s="57">
        <f>'[1]Master'!B56</f>
        <v>17</v>
      </c>
      <c r="C56" s="142">
        <f>'[1]Betas'!C56</f>
        <v>1.04625</v>
      </c>
      <c r="D56" s="142">
        <f>'[1]Betas'!H56</f>
        <v>1.0490511953601558</v>
      </c>
      <c r="E56" s="143">
        <f>'[1]Betas'!D56</f>
        <v>0.03179409538228614</v>
      </c>
      <c r="F56" s="143">
        <f>'[1]Debt Fundas'!C56</f>
        <v>0.030814380044020543</v>
      </c>
      <c r="G56" s="143">
        <f>'[1]roe'!E56</f>
        <v>0.02666812993854258</v>
      </c>
      <c r="H56" s="143" t="str">
        <f>'[1]roe'!C56</f>
        <v>NA</v>
      </c>
      <c r="I56" s="143">
        <f>'[1]Betas'!E56</f>
        <v>0.025286470588235296</v>
      </c>
      <c r="J56" s="143" t="str">
        <f>'[1]margins'!E56</f>
        <v>NA</v>
      </c>
      <c r="K56" s="143" t="str">
        <f>'[1]margins'!F56</f>
        <v>NA</v>
      </c>
      <c r="L56" s="143" t="str">
        <f>'[1]margins'!G56</f>
        <v>NA</v>
      </c>
      <c r="M56" s="143">
        <f>'[1]Cap Ex'!E56</f>
        <v>1.3125</v>
      </c>
      <c r="N56" s="143" t="str">
        <f>'[1]wc data'!G56</f>
        <v>NA</v>
      </c>
      <c r="O56" s="143">
        <f>'[1]Div Fundas'!D56</f>
        <v>0</v>
      </c>
      <c r="P56" s="143">
        <f>'[1]FundGREB'!D56</f>
        <v>0.027371902643397703</v>
      </c>
      <c r="Q56" s="142" t="str">
        <f>'[1]Mgn &amp; ROC'!D56</f>
        <v>NA</v>
      </c>
      <c r="R56" s="142" t="str">
        <f>'[1]ps'!H56</f>
        <v>NA</v>
      </c>
    </row>
    <row r="57" spans="1:18" ht="12.75">
      <c r="A57" t="str">
        <f>'[1]Master'!A57</f>
        <v>Machinery</v>
      </c>
      <c r="B57" s="57">
        <f>'[1]Master'!B57</f>
        <v>138</v>
      </c>
      <c r="C57" s="142">
        <f>'[1]Betas'!C57</f>
        <v>0.7923423423423422</v>
      </c>
      <c r="D57" s="142">
        <f>'[1]Betas'!H57</f>
        <v>0.6216929602920562</v>
      </c>
      <c r="E57" s="143">
        <f>'[1]Betas'!D57</f>
        <v>0.43825028967050067</v>
      </c>
      <c r="F57" s="143">
        <f>'[1]Debt Fundas'!C57</f>
        <v>0.3047107258159515</v>
      </c>
      <c r="G57" s="143">
        <f>'[1]roe'!E57</f>
        <v>0.0758728770167434</v>
      </c>
      <c r="H57" s="143">
        <f>'[1]roe'!C57</f>
        <v>0.09933414546169926</v>
      </c>
      <c r="I57" s="143">
        <f>'[1]Betas'!E57</f>
        <v>0.21002492753623184</v>
      </c>
      <c r="J57" s="143">
        <f>'[1]margins'!E57</f>
        <v>0.10757242679697347</v>
      </c>
      <c r="K57" s="143">
        <f>'[1]margins'!F57</f>
        <v>0.07465145029359602</v>
      </c>
      <c r="L57" s="143">
        <f>'[1]margins'!G57</f>
        <v>0.019994374948855358</v>
      </c>
      <c r="M57" s="143">
        <f>'[1]Cap Ex'!E57</f>
        <v>0.9399121903282559</v>
      </c>
      <c r="N57" s="143">
        <f>'[1]wc data'!G57</f>
        <v>0.21061965645928474</v>
      </c>
      <c r="O57" s="143">
        <f>'[1]Div Fundas'!D57</f>
        <v>0.5272711128111254</v>
      </c>
      <c r="P57" s="143">
        <f>'[1]FundGREB'!D57</f>
        <v>0.060723412927641655</v>
      </c>
      <c r="Q57" s="142">
        <f>'[1]Mgn &amp; ROC'!D57</f>
        <v>1.330639191482937</v>
      </c>
      <c r="R57" s="142">
        <f>'[1]ps'!H57</f>
        <v>1.3042836346082305</v>
      </c>
    </row>
    <row r="58" spans="1:18" ht="12.75">
      <c r="A58" t="str">
        <f>'[1]Master'!A58</f>
        <v>Manuf. Housing/RV</v>
      </c>
      <c r="B58" s="57">
        <f>'[1]Master'!B58</f>
        <v>18</v>
      </c>
      <c r="C58" s="142">
        <f>'[1]Betas'!C58</f>
        <v>0.925</v>
      </c>
      <c r="D58" s="142">
        <f>'[1]Betas'!H58</f>
        <v>0.8477231860974256</v>
      </c>
      <c r="E58" s="143">
        <f>'[1]Betas'!D58</f>
        <v>0.21808206173477224</v>
      </c>
      <c r="F58" s="143">
        <f>'[1]Debt Fundas'!C58</f>
        <v>0.1790372492836676</v>
      </c>
      <c r="G58" s="143">
        <f>'[1]roe'!E58</f>
        <v>-0.03202369641759347</v>
      </c>
      <c r="H58" s="143">
        <f>'[1]roe'!C58</f>
        <v>0.036210292415110104</v>
      </c>
      <c r="I58" s="143">
        <f>'[1]Betas'!E58</f>
        <v>0.18212555555555554</v>
      </c>
      <c r="J58" s="143">
        <f>'[1]margins'!E58</f>
        <v>0.026233226656308582</v>
      </c>
      <c r="K58" s="143">
        <f>'[1]margins'!F58</f>
        <v>0.010247342137706245</v>
      </c>
      <c r="L58" s="143">
        <f>'[1]margins'!G58</f>
        <v>0.003166534375897185</v>
      </c>
      <c r="M58" s="143">
        <f>'[1]Cap Ex'!E58</f>
        <v>0.8896321070234113</v>
      </c>
      <c r="N58" s="143">
        <f>'[1]wc data'!G58</f>
        <v>0.08529376994916657</v>
      </c>
      <c r="O58" s="143" t="str">
        <f>'[1]Div Fundas'!D58</f>
        <v>NA</v>
      </c>
      <c r="P58" s="143">
        <f>'[1]FundGREB'!D58</f>
        <v>0.2802105495724476</v>
      </c>
      <c r="Q58" s="142">
        <f>'[1]Mgn &amp; ROC'!D58</f>
        <v>3.533627737661873</v>
      </c>
      <c r="R58" s="142">
        <f>'[1]ps'!H58</f>
        <v>0.6822234982182966</v>
      </c>
    </row>
    <row r="59" spans="1:18" ht="12.75">
      <c r="A59" t="str">
        <f>'[1]Master'!A59</f>
        <v>Maritime</v>
      </c>
      <c r="B59" s="57">
        <f>'[1]Master'!B59</f>
        <v>23</v>
      </c>
      <c r="C59" s="142">
        <f>'[1]Betas'!C59</f>
        <v>0.8026315789473685</v>
      </c>
      <c r="D59" s="142">
        <f>'[1]Betas'!H59</f>
        <v>0.5477996933961349</v>
      </c>
      <c r="E59" s="143">
        <f>'[1]Betas'!D59</f>
        <v>1.013105029209015</v>
      </c>
      <c r="F59" s="143">
        <f>'[1]Debt Fundas'!C59</f>
        <v>0.5032549293302805</v>
      </c>
      <c r="G59" s="143">
        <f>'[1]roe'!E59</f>
        <v>0.03488785672441208</v>
      </c>
      <c r="H59" s="143">
        <f>'[1]roe'!C59</f>
        <v>-0.01479923826840145</v>
      </c>
      <c r="I59" s="143">
        <f>'[1]Betas'!E59</f>
        <v>0.47839478260869567</v>
      </c>
      <c r="J59" s="143">
        <f>'[1]margins'!E59</f>
        <v>0.17525498694555594</v>
      </c>
      <c r="K59" s="143">
        <f>'[1]margins'!F59</f>
        <v>-0.023960223219898994</v>
      </c>
      <c r="L59" s="143">
        <f>'[1]margins'!G59</f>
        <v>0.03458503139723231</v>
      </c>
      <c r="M59" s="143">
        <f>'[1]Cap Ex'!E59</f>
        <v>1.9384288747346075</v>
      </c>
      <c r="N59" s="143">
        <f>'[1]wc data'!G59</f>
        <v>0.03662640621879692</v>
      </c>
      <c r="O59" s="143">
        <f>'[1]Div Fundas'!D59</f>
        <v>0.7801229385307344</v>
      </c>
      <c r="P59" s="143" t="str">
        <f>'[1]FundGREB'!D59</f>
        <v>NA</v>
      </c>
      <c r="Q59" s="142">
        <f>'[1]Mgn &amp; ROC'!D59</f>
        <v>0.6176586141363936</v>
      </c>
      <c r="R59" s="142">
        <f>'[1]ps'!H59</f>
        <v>1.7371951805803127</v>
      </c>
    </row>
    <row r="60" spans="1:18" ht="12.75">
      <c r="A60" t="str">
        <f>'[1]Master'!A60</f>
        <v>Medical Services</v>
      </c>
      <c r="B60" s="57">
        <f>'[1]Master'!B60</f>
        <v>197</v>
      </c>
      <c r="C60" s="142">
        <f>'[1]Betas'!C60</f>
        <v>0.8203007518796996</v>
      </c>
      <c r="D60" s="142">
        <f>'[1]Betas'!H60</f>
        <v>0.8020435409859462</v>
      </c>
      <c r="E60" s="143">
        <f>'[1]Betas'!D60</f>
        <v>0.22332562001260783</v>
      </c>
      <c r="F60" s="143">
        <f>'[1]Debt Fundas'!C60</f>
        <v>0.18255615378210274</v>
      </c>
      <c r="G60" s="143">
        <f>'[1]roe'!E60</f>
        <v>0.12261771550570127</v>
      </c>
      <c r="H60" s="143">
        <f>'[1]roe'!C60</f>
        <v>0.1565751485252858</v>
      </c>
      <c r="I60" s="143">
        <f>'[1]Betas'!E60</f>
        <v>0.20104126903553302</v>
      </c>
      <c r="J60" s="143">
        <f>'[1]margins'!E60</f>
        <v>0.11889286275968403</v>
      </c>
      <c r="K60" s="143">
        <f>'[1]margins'!F60</f>
        <v>0.07703409422769021</v>
      </c>
      <c r="L60" s="143">
        <f>'[1]margins'!G60</f>
        <v>0.02298121611753029</v>
      </c>
      <c r="M60" s="143">
        <f>'[1]Cap Ex'!E60</f>
        <v>1.234062700801515</v>
      </c>
      <c r="N60" s="143">
        <f>'[1]wc data'!G60</f>
        <v>-0.006332905998941904</v>
      </c>
      <c r="O60" s="143">
        <f>'[1]Div Fundas'!D60</f>
        <v>0.05585725802839612</v>
      </c>
      <c r="P60" s="143">
        <f>'[1]FundGREB'!D60</f>
        <v>0.06575695820455513</v>
      </c>
      <c r="Q60" s="142">
        <f>'[1]Mgn &amp; ROC'!D60</f>
        <v>2.032543513298093</v>
      </c>
      <c r="R60" s="142">
        <f>'[1]ps'!H60</f>
        <v>0.9111846839175608</v>
      </c>
    </row>
    <row r="61" spans="1:18" ht="12.75">
      <c r="A61" t="str">
        <f>'[1]Master'!A61</f>
        <v>Medical Supplies</v>
      </c>
      <c r="B61" s="57">
        <f>'[1]Master'!B61</f>
        <v>236</v>
      </c>
      <c r="C61" s="142">
        <f>'[1]Betas'!C61</f>
        <v>0.8351562499999994</v>
      </c>
      <c r="D61" s="142">
        <f>'[1]Betas'!H61</f>
        <v>0.8212923951535794</v>
      </c>
      <c r="E61" s="143">
        <f>'[1]Betas'!D61</f>
        <v>0.06975644005969621</v>
      </c>
      <c r="F61" s="143">
        <f>'[1]Debt Fundas'!C61</f>
        <v>0.06520777762815193</v>
      </c>
      <c r="G61" s="143">
        <f>'[1]roe'!E61</f>
        <v>0.21643351880376827</v>
      </c>
      <c r="H61" s="143">
        <f>'[1]roe'!C61</f>
        <v>0.19841557459748363</v>
      </c>
      <c r="I61" s="143">
        <f>'[1]Betas'!E61</f>
        <v>0.14929822033898305</v>
      </c>
      <c r="J61" s="143">
        <f>'[1]margins'!E61</f>
        <v>0.14266793419854001</v>
      </c>
      <c r="K61" s="143">
        <f>'[1]margins'!F61</f>
        <v>0.100123434873443</v>
      </c>
      <c r="L61" s="143">
        <f>'[1]margins'!G61</f>
        <v>0.06606387038870754</v>
      </c>
      <c r="M61" s="143">
        <f>'[1]Cap Ex'!E61</f>
        <v>1.1295547139496172</v>
      </c>
      <c r="N61" s="143">
        <f>'[1]wc data'!G61</f>
        <v>0.10222379718293853</v>
      </c>
      <c r="O61" s="143">
        <f>'[1]Div Fundas'!D61</f>
        <v>0.28609569642070415</v>
      </c>
      <c r="P61" s="143">
        <f>'[1]FundGREB'!D61</f>
        <v>0.13645696456029438</v>
      </c>
      <c r="Q61" s="142">
        <f>'[1]Mgn &amp; ROC'!D61</f>
        <v>1.9817096252069544</v>
      </c>
      <c r="R61" s="142">
        <f>'[1]ps'!H61</f>
        <v>2.1769629100489345</v>
      </c>
    </row>
    <row r="62" spans="1:18" ht="12.75">
      <c r="A62" t="str">
        <f>'[1]Master'!A62</f>
        <v>Metal Fabricating</v>
      </c>
      <c r="B62" s="57">
        <f>'[1]Master'!B62</f>
        <v>37</v>
      </c>
      <c r="C62" s="142">
        <f>'[1]Betas'!C62</f>
        <v>0.7566666666666669</v>
      </c>
      <c r="D62" s="142">
        <f>'[1]Betas'!H62</f>
        <v>0.7331433015631823</v>
      </c>
      <c r="E62" s="143">
        <f>'[1]Betas'!D62</f>
        <v>0.15346816072763775</v>
      </c>
      <c r="F62" s="143">
        <f>'[1]Debt Fundas'!C62</f>
        <v>0.1330493254628078</v>
      </c>
      <c r="G62" s="143">
        <f>'[1]roe'!E62</f>
        <v>0.08552879733062527</v>
      </c>
      <c r="H62" s="143">
        <f>'[1]roe'!C62</f>
        <v>0.10943187478828877</v>
      </c>
      <c r="I62" s="143">
        <f>'[1]Betas'!E62</f>
        <v>0.4693983783783784</v>
      </c>
      <c r="J62" s="143">
        <f>'[1]margins'!E62</f>
        <v>0.12218701505930495</v>
      </c>
      <c r="K62" s="143">
        <f>'[1]margins'!F62</f>
        <v>0.07557536045614366</v>
      </c>
      <c r="L62" s="143">
        <f>'[1]margins'!G62</f>
        <v>0.039099025492229426</v>
      </c>
      <c r="M62" s="143">
        <f>'[1]Cap Ex'!E62</f>
        <v>0.8964831389566947</v>
      </c>
      <c r="N62" s="143">
        <f>'[1]wc data'!G62</f>
        <v>0.1408270222520173</v>
      </c>
      <c r="O62" s="143">
        <f>'[1]Div Fundas'!D62</f>
        <v>0.37102620642863204</v>
      </c>
      <c r="P62" s="143">
        <f>'[1]FundGREB'!D62</f>
        <v>0.04176125184897898</v>
      </c>
      <c r="Q62" s="142">
        <f>'[1]Mgn &amp; ROC'!D62</f>
        <v>1.447983497899319</v>
      </c>
      <c r="R62" s="142">
        <f>'[1]ps'!H62</f>
        <v>1.5010527197879897</v>
      </c>
    </row>
    <row r="63" spans="1:18" ht="12.75">
      <c r="A63" t="str">
        <f>'[1]Master'!A63</f>
        <v>Metals &amp; Mining (Div.)</v>
      </c>
      <c r="B63" s="57">
        <f>'[1]Master'!B63</f>
        <v>54</v>
      </c>
      <c r="C63" s="142">
        <f>'[1]Betas'!C63</f>
        <v>0.9843999999999999</v>
      </c>
      <c r="D63" s="142">
        <f>'[1]Betas'!H63</f>
        <v>0.8273677169643897</v>
      </c>
      <c r="E63" s="143">
        <f>'[1]Betas'!D63</f>
        <v>0.25224611003361214</v>
      </c>
      <c r="F63" s="143">
        <f>'[1]Debt Fundas'!C63</f>
        <v>0.20143493200936474</v>
      </c>
      <c r="G63" s="143">
        <f>'[1]roe'!E63</f>
        <v>0.06383832734271544</v>
      </c>
      <c r="H63" s="143">
        <f>'[1]roe'!C63</f>
        <v>0.10435737926797517</v>
      </c>
      <c r="I63" s="143">
        <f>'[1]Betas'!E63</f>
        <v>0.09978518518518519</v>
      </c>
      <c r="J63" s="143">
        <f>'[1]margins'!E63</f>
        <v>0.1746177278473861</v>
      </c>
      <c r="K63" s="143">
        <f>'[1]margins'!F63</f>
        <v>0.11878243366954265</v>
      </c>
      <c r="L63" s="143">
        <f>'[1]margins'!G63</f>
        <v>0.018068320637539895</v>
      </c>
      <c r="M63" s="143">
        <f>'[1]Cap Ex'!E63</f>
        <v>1.155930178191075</v>
      </c>
      <c r="N63" s="143">
        <f>'[1]wc data'!G63</f>
        <v>0.1138549375017322</v>
      </c>
      <c r="O63" s="143">
        <f>'[1]Div Fundas'!D63</f>
        <v>0.7767000798824955</v>
      </c>
      <c r="P63" s="143">
        <f>'[1]FundGREB'!D63</f>
        <v>0.07794691110956581</v>
      </c>
      <c r="Q63" s="142">
        <f>'[1]Mgn &amp; ROC'!D63</f>
        <v>0.8785590263144587</v>
      </c>
      <c r="R63" s="142">
        <f>'[1]ps'!H63</f>
        <v>2.3597301371060415</v>
      </c>
    </row>
    <row r="64" spans="1:18" ht="12.75">
      <c r="A64" t="str">
        <f>'[1]Master'!A64</f>
        <v>Natural Gas (Distrib.)</v>
      </c>
      <c r="B64" s="57">
        <f>'[1]Master'!B64</f>
        <v>31</v>
      </c>
      <c r="C64" s="142">
        <f>'[1]Betas'!C64</f>
        <v>0.645</v>
      </c>
      <c r="D64" s="142">
        <f>'[1]Betas'!H64</f>
        <v>0.4000535763654706</v>
      </c>
      <c r="E64" s="143">
        <f>'[1]Betas'!D64</f>
        <v>0.8804060462957357</v>
      </c>
      <c r="F64" s="143">
        <f>'[1]Debt Fundas'!C64</f>
        <v>0.4681999656563922</v>
      </c>
      <c r="G64" s="143">
        <f>'[1]roe'!E64</f>
        <v>0.12096690219412422</v>
      </c>
      <c r="H64" s="143">
        <f>'[1]roe'!C64</f>
        <v>0.10704818591620391</v>
      </c>
      <c r="I64" s="143">
        <f>'[1]Betas'!E64</f>
        <v>0.2773167741935484</v>
      </c>
      <c r="J64" s="143">
        <f>'[1]margins'!E64</f>
        <v>0.20593113864275656</v>
      </c>
      <c r="K64" s="143">
        <f>'[1]margins'!F64</f>
        <v>0.13986120640929667</v>
      </c>
      <c r="L64" s="143">
        <f>'[1]margins'!G64</f>
        <v>0.03410750971979937</v>
      </c>
      <c r="M64" s="143">
        <f>'[1]Cap Ex'!E64</f>
        <v>1.8637657584383895</v>
      </c>
      <c r="N64" s="143">
        <f>'[1]wc data'!G64</f>
        <v>0.044640177808848894</v>
      </c>
      <c r="O64" s="143">
        <f>'[1]Div Fundas'!D64</f>
        <v>0.7099403590752583</v>
      </c>
      <c r="P64" s="143">
        <f>'[1]FundGREB'!D64</f>
        <v>0.42595055374568536</v>
      </c>
      <c r="Q64" s="142">
        <f>'[1]Mgn &amp; ROC'!D64</f>
        <v>0.7653886925795054</v>
      </c>
      <c r="R64" s="142">
        <f>'[1]ps'!H64</f>
        <v>1.8165587788172677</v>
      </c>
    </row>
    <row r="65" spans="1:18" ht="12.75">
      <c r="A65" t="str">
        <f>'[1]Master'!A65</f>
        <v>Natural Gas (Div.)</v>
      </c>
      <c r="B65" s="57">
        <f>'[1]Master'!B65</f>
        <v>39</v>
      </c>
      <c r="C65" s="142">
        <f>'[1]Betas'!C65</f>
        <v>0.85</v>
      </c>
      <c r="D65" s="142">
        <f>'[1]Betas'!H65</f>
        <v>0.5184238314068454</v>
      </c>
      <c r="E65" s="143">
        <f>'[1]Betas'!D65</f>
        <v>0.8888400627173453</v>
      </c>
      <c r="F65" s="143">
        <f>'[1]Debt Fundas'!C65</f>
        <v>0.4705745500964395</v>
      </c>
      <c r="G65" s="143">
        <f>'[1]roe'!E65</f>
        <v>0.012170679638409447</v>
      </c>
      <c r="H65" s="143">
        <f>'[1]roe'!C65</f>
        <v>0.10319780169655976</v>
      </c>
      <c r="I65" s="143">
        <f>'[1]Betas'!E65</f>
        <v>0.224604358974359</v>
      </c>
      <c r="J65" s="143">
        <f>'[1]margins'!E65</f>
        <v>0.2732516879868862</v>
      </c>
      <c r="K65" s="143">
        <f>'[1]margins'!F65</f>
        <v>0.21057358664747072</v>
      </c>
      <c r="L65" s="143">
        <f>'[1]margins'!G65</f>
        <v>0.047998445060228115</v>
      </c>
      <c r="M65" s="143">
        <f>'[1]Cap Ex'!E65</f>
        <v>1.9480073293632614</v>
      </c>
      <c r="N65" s="143">
        <f>'[1]wc data'!G65</f>
        <v>0.09212502128581822</v>
      </c>
      <c r="O65" s="143">
        <f>'[1]Div Fundas'!D65</f>
        <v>3.9464620580055625</v>
      </c>
      <c r="P65" s="143">
        <f>'[1]FundGREB'!D65</f>
        <v>0.5983883565634147</v>
      </c>
      <c r="Q65" s="142">
        <f>'[1]Mgn &amp; ROC'!D65</f>
        <v>0.49007951728213256</v>
      </c>
      <c r="R65" s="142">
        <f>'[1]ps'!H65</f>
        <v>2.74132613657669</v>
      </c>
    </row>
    <row r="66" spans="1:18" ht="12.75">
      <c r="A66" t="str">
        <f>'[1]Master'!A66</f>
        <v>Newspaper</v>
      </c>
      <c r="B66" s="57">
        <f>'[1]Master'!B66</f>
        <v>20</v>
      </c>
      <c r="C66" s="142">
        <f>'[1]Betas'!C66</f>
        <v>0.85</v>
      </c>
      <c r="D66" s="142">
        <f>'[1]Betas'!H66</f>
        <v>0.7880770988971894</v>
      </c>
      <c r="E66" s="143">
        <f>'[1]Betas'!D66</f>
        <v>0.17236970981653388</v>
      </c>
      <c r="F66" s="143">
        <f>'[1]Debt Fundas'!C66</f>
        <v>0.14702675135090987</v>
      </c>
      <c r="G66" s="143">
        <f>'[1]roe'!E66</f>
        <v>0.10238616358778607</v>
      </c>
      <c r="H66" s="143">
        <f>'[1]roe'!C66</f>
        <v>0.10480611038771562</v>
      </c>
      <c r="I66" s="143">
        <f>'[1]Betas'!E66</f>
        <v>0.294921</v>
      </c>
      <c r="J66" s="143">
        <f>'[1]margins'!E66</f>
        <v>0.2247477322718302</v>
      </c>
      <c r="K66" s="143">
        <f>'[1]margins'!F66</f>
        <v>0.13981649666292043</v>
      </c>
      <c r="L66" s="143">
        <f>'[1]margins'!G66</f>
        <v>0.08321247015045634</v>
      </c>
      <c r="M66" s="143">
        <f>'[1]Cap Ex'!E66</f>
        <v>0.6568555837236282</v>
      </c>
      <c r="N66" s="143">
        <f>'[1]wc data'!G66</f>
        <v>-0.014195930207005669</v>
      </c>
      <c r="O66" s="143">
        <f>'[1]Div Fundas'!D66</f>
        <v>0.2732975023711666</v>
      </c>
      <c r="P66" s="143">
        <f>'[1]FundGREB'!D66</f>
        <v>-0.1221120698515343</v>
      </c>
      <c r="Q66" s="142">
        <f>'[1]Mgn &amp; ROC'!D66</f>
        <v>0.7495976003489034</v>
      </c>
      <c r="R66" s="142">
        <f>'[1]ps'!H66</f>
        <v>3.2282127108303875</v>
      </c>
    </row>
    <row r="67" spans="1:18" ht="12.75">
      <c r="A67" t="str">
        <f>'[1]Master'!A67</f>
        <v>Office Equip/Supplies</v>
      </c>
      <c r="B67" s="57">
        <f>'[1]Master'!B67</f>
        <v>31</v>
      </c>
      <c r="C67" s="142">
        <f>'[1]Betas'!C67</f>
        <v>0.8970833333333332</v>
      </c>
      <c r="D67" s="142">
        <f>'[1]Betas'!H67</f>
        <v>0.7361364099245881</v>
      </c>
      <c r="E67" s="143">
        <f>'[1]Betas'!D67</f>
        <v>0.41899663307125007</v>
      </c>
      <c r="F67" s="143">
        <f>'[1]Debt Fundas'!C67</f>
        <v>0.2952766929153183</v>
      </c>
      <c r="G67" s="143">
        <f>'[1]roe'!E67</f>
        <v>0.19516482290082726</v>
      </c>
      <c r="H67" s="143">
        <f>'[1]roe'!C67</f>
        <v>0.13548914304268977</v>
      </c>
      <c r="I67" s="143">
        <f>'[1]Betas'!E67</f>
        <v>0.25743935483870967</v>
      </c>
      <c r="J67" s="143">
        <f>'[1]margins'!E67</f>
        <v>0.11951728684235376</v>
      </c>
      <c r="K67" s="143">
        <f>'[1]margins'!F67</f>
        <v>0.07791861641841318</v>
      </c>
      <c r="L67" s="143">
        <f>'[1]margins'!G67</f>
        <v>0.03841551841501106</v>
      </c>
      <c r="M67" s="143">
        <f>'[1]Cap Ex'!E67</f>
        <v>0.5845817008527311</v>
      </c>
      <c r="N67" s="143">
        <f>'[1]wc data'!G67</f>
        <v>0.13284204087902735</v>
      </c>
      <c r="O67" s="143">
        <f>'[1]Div Fundas'!D67</f>
        <v>0.15762187276626163</v>
      </c>
      <c r="P67" s="143">
        <f>'[1]FundGREB'!D67</f>
        <v>-0.10712163968991881</v>
      </c>
      <c r="Q67" s="142">
        <f>'[1]Mgn &amp; ROC'!D67</f>
        <v>1.7388545802087927</v>
      </c>
      <c r="R67" s="142">
        <f>'[1]ps'!H67</f>
        <v>1.1742382923429688</v>
      </c>
    </row>
    <row r="68" spans="1:18" ht="12.75">
      <c r="A68" t="str">
        <f>'[1]Master'!A68</f>
        <v>Oilfield Svcs/Equip.</v>
      </c>
      <c r="B68" s="57">
        <f>'[1]Master'!B68</f>
        <v>88</v>
      </c>
      <c r="C68" s="142">
        <f>'[1]Betas'!C68</f>
        <v>0.901</v>
      </c>
      <c r="D68" s="142">
        <f>'[1]Betas'!H68</f>
        <v>0.829527203769343</v>
      </c>
      <c r="E68" s="143">
        <f>'[1]Betas'!D68</f>
        <v>0.16347320131976475</v>
      </c>
      <c r="F68" s="143">
        <f>'[1]Debt Fundas'!C68</f>
        <v>0.14050448358787457</v>
      </c>
      <c r="G68" s="143">
        <f>'[1]roe'!E68</f>
        <v>0.11016847695272085</v>
      </c>
      <c r="H68" s="143">
        <f>'[1]roe'!C68</f>
        <v>0.13409537319515832</v>
      </c>
      <c r="I68" s="143">
        <f>'[1]Betas'!E68</f>
        <v>0.2060755681818181</v>
      </c>
      <c r="J68" s="143">
        <f>'[1]margins'!E68</f>
        <v>0.18667294871728624</v>
      </c>
      <c r="K68" s="143">
        <f>'[1]margins'!F68</f>
        <v>0.1250679424544756</v>
      </c>
      <c r="L68" s="143">
        <f>'[1]margins'!G68</f>
        <v>0.013913994669414382</v>
      </c>
      <c r="M68" s="143">
        <f>'[1]Cap Ex'!E68</f>
        <v>1.2263565262378398</v>
      </c>
      <c r="N68" s="143">
        <f>'[1]wc data'!G68</f>
        <v>0.09521981838217983</v>
      </c>
      <c r="O68" s="143">
        <f>'[1]Div Fundas'!D68</f>
        <v>0.2189006074055433</v>
      </c>
      <c r="P68" s="143">
        <f>'[1]FundGREB'!D68</f>
        <v>0.1588520381765063</v>
      </c>
      <c r="Q68" s="142">
        <f>'[1]Mgn &amp; ROC'!D68</f>
        <v>1.0721802131187108</v>
      </c>
      <c r="R68" s="142">
        <f>'[1]ps'!H68</f>
        <v>2.3741610527722075</v>
      </c>
    </row>
    <row r="69" spans="1:18" ht="12.75">
      <c r="A69" t="str">
        <f>'[1]Master'!A69</f>
        <v>Packaging &amp; Container</v>
      </c>
      <c r="B69" s="57">
        <f>'[1]Master'!B69</f>
        <v>34</v>
      </c>
      <c r="C69" s="142">
        <f>'[1]Betas'!C69</f>
        <v>0.8310344827586207</v>
      </c>
      <c r="D69" s="142">
        <f>'[1]Betas'!H69</f>
        <v>0.581846411749514</v>
      </c>
      <c r="E69" s="143">
        <f>'[1]Betas'!D69</f>
        <v>0.7523073148153313</v>
      </c>
      <c r="F69" s="143">
        <f>'[1]Debt Fundas'!C69</f>
        <v>0.42932384545493607</v>
      </c>
      <c r="G69" s="143">
        <f>'[1]roe'!E69</f>
        <v>0.041762896010926025</v>
      </c>
      <c r="H69" s="143">
        <f>'[1]roe'!C69</f>
        <v>0.1253782607337432</v>
      </c>
      <c r="I69" s="143">
        <f>'[1]Betas'!E69</f>
        <v>0.373470588235294</v>
      </c>
      <c r="J69" s="143">
        <f>'[1]margins'!E69</f>
        <v>0.14197597035103993</v>
      </c>
      <c r="K69" s="143">
        <f>'[1]margins'!F69</f>
        <v>0.09858526286727139</v>
      </c>
      <c r="L69" s="143">
        <f>'[1]margins'!G69</f>
        <v>0.005732106082281366</v>
      </c>
      <c r="M69" s="143">
        <f>'[1]Cap Ex'!E69</f>
        <v>0.7566581668791614</v>
      </c>
      <c r="N69" s="143">
        <f>'[1]wc data'!G69</f>
        <v>0.0778088695351433</v>
      </c>
      <c r="O69" s="143">
        <f>'[1]Div Fundas'!D69</f>
        <v>0.551760058791108</v>
      </c>
      <c r="P69" s="143">
        <f>'[1]FundGREB'!D69</f>
        <v>-0.08598478358470747</v>
      </c>
      <c r="Q69" s="142">
        <f>'[1]Mgn &amp; ROC'!D69</f>
        <v>1.2717748787924228</v>
      </c>
      <c r="R69" s="142">
        <f>'[1]ps'!H69</f>
        <v>1.1987981638395875</v>
      </c>
    </row>
    <row r="70" spans="1:18" ht="12.75">
      <c r="A70" t="str">
        <f>'[1]Master'!A70</f>
        <v>Paper/Forest Products</v>
      </c>
      <c r="B70" s="57">
        <f>'[1]Master'!B70</f>
        <v>40</v>
      </c>
      <c r="C70" s="142">
        <f>'[1]Betas'!C70</f>
        <v>0.8381578947368419</v>
      </c>
      <c r="D70" s="142">
        <f>'[1]Betas'!H70</f>
        <v>0.6223061847800964</v>
      </c>
      <c r="E70" s="143">
        <f>'[1]Betas'!D70</f>
        <v>0.7185730309690431</v>
      </c>
      <c r="F70" s="143">
        <f>'[1]Debt Fundas'!C70</f>
        <v>0.4181219058022021</v>
      </c>
      <c r="G70" s="143">
        <f>'[1]roe'!E70</f>
        <v>0.04858612413719422</v>
      </c>
      <c r="H70" s="143">
        <f>'[1]roe'!C70</f>
        <v>0.09619744106857778</v>
      </c>
      <c r="I70" s="143">
        <f>'[1]Betas'!E70</f>
        <v>0.4713987499999998</v>
      </c>
      <c r="J70" s="143">
        <f>'[1]margins'!E70</f>
        <v>0.12848606947911304</v>
      </c>
      <c r="K70" s="143">
        <f>'[1]margins'!F70</f>
        <v>0.09077087614699235</v>
      </c>
      <c r="L70" s="143">
        <f>'[1]margins'!G70</f>
        <v>0.007046656201133885</v>
      </c>
      <c r="M70" s="143">
        <f>'[1]Cap Ex'!E70</f>
        <v>0.7337768691192915</v>
      </c>
      <c r="N70" s="143">
        <f>'[1]wc data'!G70</f>
        <v>0.0905243109638939</v>
      </c>
      <c r="O70" s="143">
        <f>'[1]Div Fundas'!D70</f>
        <v>1.094155966544941</v>
      </c>
      <c r="P70" s="143">
        <f>'[1]FundGREB'!D70</f>
        <v>-0.17971118523486385</v>
      </c>
      <c r="Q70" s="142">
        <f>'[1]Mgn &amp; ROC'!D70</f>
        <v>1.0597831061231333</v>
      </c>
      <c r="R70" s="142">
        <f>'[1]ps'!H70</f>
        <v>1.267584158627721</v>
      </c>
    </row>
    <row r="71" spans="1:18" ht="12.75">
      <c r="A71" t="str">
        <f>'[1]Master'!A71</f>
        <v>Petroleum (Integrated)</v>
      </c>
      <c r="B71" s="57">
        <f>'[1]Master'!B71</f>
        <v>34</v>
      </c>
      <c r="C71" s="142">
        <f>'[1]Betas'!C71</f>
        <v>0.81875</v>
      </c>
      <c r="D71" s="142">
        <f>'[1]Betas'!H71</f>
        <v>0.7390627863078377</v>
      </c>
      <c r="E71" s="143">
        <f>'[1]Betas'!D71</f>
        <v>0.18316265590902014</v>
      </c>
      <c r="F71" s="143">
        <f>'[1]Debt Fundas'!C71</f>
        <v>0.15480767162000802</v>
      </c>
      <c r="G71" s="143">
        <f>'[1]roe'!E71</f>
        <v>0.11574103850677755</v>
      </c>
      <c r="H71" s="143">
        <f>'[1]roe'!C71</f>
        <v>0.13708322458086553</v>
      </c>
      <c r="I71" s="143">
        <f>'[1]Betas'!E71</f>
        <v>0.2407226470588235</v>
      </c>
      <c r="J71" s="143">
        <f>'[1]margins'!E71</f>
        <v>0.12877726848251356</v>
      </c>
      <c r="K71" s="143">
        <f>'[1]margins'!F71</f>
        <v>0.07455572134509063</v>
      </c>
      <c r="L71" s="143">
        <f>'[1]margins'!G71</f>
        <v>0.0387962514435038</v>
      </c>
      <c r="M71" s="143">
        <f>'[1]Cap Ex'!E71</f>
        <v>1.3245529610929316</v>
      </c>
      <c r="N71" s="143">
        <f>'[1]wc data'!G71</f>
        <v>0.008892282657817024</v>
      </c>
      <c r="O71" s="143">
        <f>'[1]Div Fundas'!D71</f>
        <v>0.5690305673864143</v>
      </c>
      <c r="P71" s="143">
        <f>'[1]FundGREB'!D71</f>
        <v>0.2413447847112689</v>
      </c>
      <c r="Q71" s="142">
        <f>'[1]Mgn &amp; ROC'!D71</f>
        <v>1.8386680741288575</v>
      </c>
      <c r="R71" s="142">
        <f>'[1]ps'!H71</f>
        <v>0.9779298798124098</v>
      </c>
    </row>
    <row r="72" spans="1:18" ht="12.75">
      <c r="A72" t="str">
        <f>'[1]Master'!A72</f>
        <v>Petroleum (Producing)</v>
      </c>
      <c r="B72" s="57">
        <f>'[1]Master'!B72</f>
        <v>128</v>
      </c>
      <c r="C72" s="142">
        <f>'[1]Betas'!C72</f>
        <v>0.7253164556962025</v>
      </c>
      <c r="D72" s="142">
        <f>'[1]Betas'!H72</f>
        <v>0.5972679655117462</v>
      </c>
      <c r="E72" s="143">
        <f>'[1]Betas'!D72</f>
        <v>0.29030419920674233</v>
      </c>
      <c r="F72" s="143">
        <f>'[1]Debt Fundas'!C72</f>
        <v>0.2249889594912708</v>
      </c>
      <c r="G72" s="143">
        <f>'[1]roe'!E72</f>
        <v>0.12629759926093034</v>
      </c>
      <c r="H72" s="143">
        <f>'[1]roe'!C72</f>
        <v>0.17101279624499513</v>
      </c>
      <c r="I72" s="143">
        <f>'[1]Betas'!E72</f>
        <v>0.179980859375</v>
      </c>
      <c r="J72" s="143">
        <f>'[1]margins'!E72</f>
        <v>0.49229534218267407</v>
      </c>
      <c r="K72" s="143">
        <f>'[1]margins'!F72</f>
        <v>0.3420111215993838</v>
      </c>
      <c r="L72" s="143">
        <f>'[1]margins'!G72</f>
        <v>0.12609308508861589</v>
      </c>
      <c r="M72" s="143">
        <f>'[1]Cap Ex'!E72</f>
        <v>1.8175404714569725</v>
      </c>
      <c r="N72" s="143">
        <f>'[1]wc data'!G72</f>
        <v>-0.008301545628439029</v>
      </c>
      <c r="O72" s="143">
        <f>'[1]Div Fundas'!D72</f>
        <v>0.1896608758122979</v>
      </c>
      <c r="P72" s="143">
        <f>'[1]FundGREB'!D72</f>
        <v>0.46575741727245606</v>
      </c>
      <c r="Q72" s="142">
        <f>'[1]Mgn &amp; ROC'!D72</f>
        <v>0.5000211555848517</v>
      </c>
      <c r="R72" s="142">
        <f>'[1]ps'!H72</f>
        <v>4.011189717484685</v>
      </c>
    </row>
    <row r="73" spans="1:18" ht="12.75">
      <c r="A73" t="str">
        <f>'[1]Master'!A73</f>
        <v>Pharmacy Services</v>
      </c>
      <c r="B73" s="57">
        <f>'[1]Master'!B73</f>
        <v>15</v>
      </c>
      <c r="C73" s="142">
        <f>'[1]Betas'!C73</f>
        <v>0.8857142857142856</v>
      </c>
      <c r="D73" s="142">
        <f>'[1]Betas'!H73</f>
        <v>0.8608227753294785</v>
      </c>
      <c r="E73" s="143">
        <f>'[1]Betas'!D73</f>
        <v>0.08965479234635393</v>
      </c>
      <c r="F73" s="143">
        <f>'[1]Debt Fundas'!C73</f>
        <v>0.08227816091488961</v>
      </c>
      <c r="G73" s="143">
        <f>'[1]roe'!E73</f>
        <v>0.13438156831042844</v>
      </c>
      <c r="H73" s="143">
        <f>'[1]roe'!C73</f>
        <v>0.1498880275413546</v>
      </c>
      <c r="I73" s="143">
        <f>'[1]Betas'!E73</f>
        <v>0.3164686666666667</v>
      </c>
      <c r="J73" s="143">
        <f>'[1]margins'!E73</f>
        <v>0.04994587949346159</v>
      </c>
      <c r="K73" s="143">
        <f>'[1]margins'!F73</f>
        <v>0.033065844457731315</v>
      </c>
      <c r="L73" s="143">
        <f>'[1]margins'!G73</f>
        <v>0.019261263473925865</v>
      </c>
      <c r="M73" s="143">
        <f>'[1]Cap Ex'!E73</f>
        <v>1.7412781527979309</v>
      </c>
      <c r="N73" s="143">
        <f>'[1]wc data'!G73</f>
        <v>0.05374941366655192</v>
      </c>
      <c r="O73" s="143">
        <f>'[1]Div Fundas'!D73</f>
        <v>0.09207212897792218</v>
      </c>
      <c r="P73" s="143">
        <f>'[1]FundGREB'!D73</f>
        <v>0.4912295089114363</v>
      </c>
      <c r="Q73" s="142">
        <f>'[1]Mgn &amp; ROC'!D73</f>
        <v>4.533016773031739</v>
      </c>
      <c r="R73" s="142">
        <f>'[1]ps'!H73</f>
        <v>0.6431864865826105</v>
      </c>
    </row>
    <row r="74" spans="1:18" ht="12.75">
      <c r="A74" t="str">
        <f>'[1]Master'!A74</f>
        <v>Power</v>
      </c>
      <c r="B74" s="57">
        <f>'[1]Master'!B74</f>
        <v>19</v>
      </c>
      <c r="C74" s="142">
        <f>'[1]Betas'!C74</f>
        <v>1.4485714285714286</v>
      </c>
      <c r="D74" s="142">
        <f>'[1]Betas'!H74</f>
        <v>0.5432999076286682</v>
      </c>
      <c r="E74" s="143">
        <f>'[1]Betas'!D74</f>
        <v>2.0794607393173026</v>
      </c>
      <c r="F74" s="143">
        <f>'[1]Debt Fundas'!C74</f>
        <v>0.6752678197086891</v>
      </c>
      <c r="G74" s="143">
        <f>'[1]roe'!E74</f>
        <v>0.05976277372262774</v>
      </c>
      <c r="H74" s="143">
        <f>'[1]roe'!C74</f>
        <v>0.05120955246433098</v>
      </c>
      <c r="I74" s="143">
        <f>'[1]Betas'!E74</f>
        <v>0.1240278947368421</v>
      </c>
      <c r="J74" s="143">
        <f>'[1]margins'!E74</f>
        <v>0.16216883930597367</v>
      </c>
      <c r="K74" s="143">
        <f>'[1]margins'!F74</f>
        <v>0.10499387477876775</v>
      </c>
      <c r="L74" s="143">
        <f>'[1]margins'!G74</f>
        <v>0.010358963498570498</v>
      </c>
      <c r="M74" s="143">
        <f>'[1]Cap Ex'!E74</f>
        <v>3.684156112690618</v>
      </c>
      <c r="N74" s="143">
        <f>'[1]wc data'!G74</f>
        <v>0.04602235769283132</v>
      </c>
      <c r="O74" s="143">
        <f>'[1]Div Fundas'!D74</f>
        <v>0.1904059680777238</v>
      </c>
      <c r="P74" s="143">
        <f>'[1]FundGREB'!D74</f>
        <v>1.5308471000632824</v>
      </c>
      <c r="Q74" s="142">
        <f>'[1]Mgn &amp; ROC'!D74</f>
        <v>0.4877384759085658</v>
      </c>
      <c r="R74" s="142">
        <f>'[1]ps'!H74</f>
        <v>2.0524634304990395</v>
      </c>
    </row>
    <row r="75" spans="1:18" ht="12.75">
      <c r="A75" t="str">
        <f>'[1]Master'!A75</f>
        <v>Precious Metals</v>
      </c>
      <c r="B75" s="57">
        <f>'[1]Master'!B75</f>
        <v>48</v>
      </c>
      <c r="C75" s="142">
        <f>'[1]Betas'!C75</f>
        <v>0.4071428571428573</v>
      </c>
      <c r="D75" s="142">
        <f>'[1]Betas'!H75</f>
        <v>0.39357953593941947</v>
      </c>
      <c r="E75" s="143">
        <f>'[1]Betas'!D75</f>
        <v>0.09180668629828512</v>
      </c>
      <c r="F75" s="143">
        <f>'[1]Debt Fundas'!C75</f>
        <v>0.08408694272568618</v>
      </c>
      <c r="G75" s="143">
        <f>'[1]roe'!E75</f>
        <v>0.04927809932922683</v>
      </c>
      <c r="H75" s="143">
        <f>'[1]roe'!C75</f>
        <v>0.1193927354358541</v>
      </c>
      <c r="I75" s="143">
        <f>'[1]Betas'!E75</f>
        <v>0.0755425</v>
      </c>
      <c r="J75" s="143">
        <f>'[1]margins'!E75</f>
        <v>0.2885090149454398</v>
      </c>
      <c r="K75" s="143">
        <f>'[1]margins'!F75</f>
        <v>0.25504924538035834</v>
      </c>
      <c r="L75" s="143">
        <f>'[1]margins'!G75</f>
        <v>0.020120063783885186</v>
      </c>
      <c r="M75" s="143">
        <f>'[1]Cap Ex'!E75</f>
        <v>0.7425050579363619</v>
      </c>
      <c r="N75" s="143">
        <f>'[1]wc data'!G75</f>
        <v>0.053465903761373224</v>
      </c>
      <c r="O75" s="143">
        <f>'[1]Div Fundas'!D75</f>
        <v>0.6677988482922954</v>
      </c>
      <c r="P75" s="143">
        <f>'[1]FundGREB'!D75</f>
        <v>-0.16953038006201174</v>
      </c>
      <c r="Q75" s="142">
        <f>'[1]Mgn &amp; ROC'!D75</f>
        <v>0.46811640339418426</v>
      </c>
      <c r="R75" s="142">
        <f>'[1]ps'!H75</f>
        <v>6.107275740237001</v>
      </c>
    </row>
    <row r="76" spans="1:18" ht="12.75">
      <c r="A76" t="str">
        <f>'[1]Master'!A76</f>
        <v>Precision Instrument</v>
      </c>
      <c r="B76" s="57">
        <f>'[1]Master'!B76</f>
        <v>102</v>
      </c>
      <c r="C76" s="142">
        <f>'[1]Betas'!C76</f>
        <v>1.3313513513513517</v>
      </c>
      <c r="D76" s="142">
        <f>'[1]Betas'!H76</f>
        <v>1.3740206974686622</v>
      </c>
      <c r="E76" s="143">
        <f>'[1]Betas'!D76</f>
        <v>0.10104952556707442</v>
      </c>
      <c r="F76" s="143">
        <f>'[1]Debt Fundas'!C76</f>
        <v>0.0917756406234595</v>
      </c>
      <c r="G76" s="143">
        <f>'[1]roe'!E76</f>
        <v>0.010744690589527645</v>
      </c>
      <c r="H76" s="143">
        <f>'[1]roe'!C76</f>
        <v>0.07899795278797529</v>
      </c>
      <c r="I76" s="143">
        <f>'[1]Betas'!E76</f>
        <v>0.1428872549019608</v>
      </c>
      <c r="J76" s="143">
        <f>'[1]margins'!E76</f>
        <v>0.09176937477212437</v>
      </c>
      <c r="K76" s="143">
        <f>'[1]margins'!F76</f>
        <v>0.06835027740031932</v>
      </c>
      <c r="L76" s="143">
        <f>'[1]margins'!G76</f>
        <v>-0.004878110109506028</v>
      </c>
      <c r="M76" s="143">
        <f>'[1]Cap Ex'!E76</f>
        <v>0.6780702419783055</v>
      </c>
      <c r="N76" s="143">
        <f>'[1]wc data'!G76</f>
        <v>0.12020015338387458</v>
      </c>
      <c r="O76" s="143">
        <f>'[1]Div Fundas'!D76</f>
        <v>1.187440539581115</v>
      </c>
      <c r="P76" s="143">
        <f>'[1]FundGREB'!D76</f>
        <v>-0.28298930327209193</v>
      </c>
      <c r="Q76" s="142">
        <f>'[1]Mgn &amp; ROC'!D76</f>
        <v>1.1557810120549157</v>
      </c>
      <c r="R76" s="142">
        <f>'[1]ps'!H76</f>
        <v>2.0013201071172633</v>
      </c>
    </row>
    <row r="77" spans="1:18" ht="12.75">
      <c r="A77" t="str">
        <f>'[1]Master'!A77</f>
        <v>Publishing</v>
      </c>
      <c r="B77" s="57">
        <f>'[1]Master'!B77</f>
        <v>40</v>
      </c>
      <c r="C77" s="142">
        <f>'[1]Betas'!C77</f>
        <v>0.8970588235294119</v>
      </c>
      <c r="D77" s="142">
        <f>'[1]Betas'!H77</f>
        <v>0.7839286488485938</v>
      </c>
      <c r="E77" s="143">
        <f>'[1]Betas'!D77</f>
        <v>0.24276250598957003</v>
      </c>
      <c r="F77" s="143">
        <f>'[1]Debt Fundas'!C77</f>
        <v>0.19534102841014375</v>
      </c>
      <c r="G77" s="143">
        <f>'[1]roe'!E77</f>
        <v>0.09651571442915956</v>
      </c>
      <c r="H77" s="143">
        <f>'[1]roe'!C77</f>
        <v>0.18671309104370037</v>
      </c>
      <c r="I77" s="143">
        <f>'[1]Betas'!E77</f>
        <v>0.20908349999999998</v>
      </c>
      <c r="J77" s="143">
        <f>'[1]margins'!E77</f>
        <v>0.1405101407453173</v>
      </c>
      <c r="K77" s="143">
        <f>'[1]margins'!F77</f>
        <v>0.09564212391314174</v>
      </c>
      <c r="L77" s="143">
        <f>'[1]margins'!G77</f>
        <v>0.016992912503830063</v>
      </c>
      <c r="M77" s="143">
        <f>'[1]Cap Ex'!E77</f>
        <v>0.5129432067775337</v>
      </c>
      <c r="N77" s="143">
        <f>'[1]wc data'!G77</f>
        <v>-0.011093363069674457</v>
      </c>
      <c r="O77" s="143">
        <f>'[1]Div Fundas'!D77</f>
        <v>0.8150936329588014</v>
      </c>
      <c r="P77" s="143">
        <f>'[1]FundGREB'!D77</f>
        <v>-0.3355353515814392</v>
      </c>
      <c r="Q77" s="142">
        <f>'[1]Mgn &amp; ROC'!D77</f>
        <v>1.9522056119672286</v>
      </c>
      <c r="R77" s="142">
        <f>'[1]ps'!H77</f>
        <v>1.2881662422205815</v>
      </c>
    </row>
    <row r="78" spans="1:18" ht="12.75">
      <c r="A78" t="str">
        <f>'[1]Master'!A78</f>
        <v>R.E.I.T.</v>
      </c>
      <c r="B78" s="57">
        <f>'[1]Master'!B78</f>
        <v>144</v>
      </c>
      <c r="C78" s="142">
        <f>'[1]Betas'!C78</f>
        <v>0.640769230769231</v>
      </c>
      <c r="D78" s="142">
        <f>'[1]Betas'!H78</f>
        <v>0.5678261464472572</v>
      </c>
      <c r="E78" s="143">
        <f>'[1]Betas'!D78</f>
        <v>0.1751204534277871</v>
      </c>
      <c r="F78" s="143">
        <f>'[1]Debt Fundas'!C78</f>
        <v>0.14902340684903115</v>
      </c>
      <c r="G78" s="143">
        <f>'[1]roe'!E78</f>
        <v>0.10219482397876793</v>
      </c>
      <c r="H78" s="143">
        <f>'[1]roe'!C78</f>
        <v>0.04542220551693282</v>
      </c>
      <c r="I78" s="143">
        <f>'[1]Betas'!E78</f>
        <v>0.017288819444444447</v>
      </c>
      <c r="J78" s="143">
        <f>'[1]margins'!E78</f>
        <v>0.43716576465653706</v>
      </c>
      <c r="K78" s="143">
        <f>'[1]margins'!F78</f>
        <v>0.35713853617286123</v>
      </c>
      <c r="L78" s="143">
        <f>'[1]margins'!G78</f>
        <v>0.8003084874643143</v>
      </c>
      <c r="M78" s="143">
        <f>'[1]Cap Ex'!E78</f>
        <v>3.033577637634225</v>
      </c>
      <c r="N78" s="143">
        <f>'[1]wc data'!G78</f>
        <v>0.5253081492105156</v>
      </c>
      <c r="O78" s="143">
        <f>'[1]Div Fundas'!D78</f>
        <v>1.6510368802902056</v>
      </c>
      <c r="P78" s="143">
        <f>'[1]FundGREB'!D78</f>
        <v>0.4982322250503804</v>
      </c>
      <c r="Q78" s="142">
        <f>'[1]Mgn &amp; ROC'!D78</f>
        <v>0.12718371420704846</v>
      </c>
      <c r="R78" s="142">
        <f>'[1]ps'!H78</f>
        <v>19.672570322964727</v>
      </c>
    </row>
    <row r="79" spans="1:18" ht="12.75">
      <c r="A79" t="str">
        <f>'[1]Master'!A79</f>
        <v>Railroad</v>
      </c>
      <c r="B79" s="57">
        <f>'[1]Master'!B79</f>
        <v>16</v>
      </c>
      <c r="C79" s="142">
        <f>'[1]Betas'!C79</f>
        <v>0.8321428571428572</v>
      </c>
      <c r="D79" s="142">
        <f>'[1]Betas'!H79</f>
        <v>0.5935702210762025</v>
      </c>
      <c r="E79" s="143">
        <f>'[1]Betas'!D79</f>
        <v>0.6136132175696963</v>
      </c>
      <c r="F79" s="143">
        <f>'[1]Debt Fundas'!C79</f>
        <v>0.380272800748295</v>
      </c>
      <c r="G79" s="143">
        <f>'[1]roe'!E79</f>
        <v>0.09921846622532075</v>
      </c>
      <c r="H79" s="143">
        <f>'[1]roe'!C79</f>
        <v>0.09837414254793192</v>
      </c>
      <c r="I79" s="143">
        <f>'[1]Betas'!E79</f>
        <v>0.31063875</v>
      </c>
      <c r="J79" s="143">
        <f>'[1]margins'!E79</f>
        <v>0.2820144298485153</v>
      </c>
      <c r="K79" s="143">
        <f>'[1]margins'!F79</f>
        <v>0.1839051386711538</v>
      </c>
      <c r="L79" s="143">
        <f>'[1]margins'!G79</f>
        <v>0.035623550326473664</v>
      </c>
      <c r="M79" s="143">
        <f>'[1]Cap Ex'!E79</f>
        <v>1.4792754724147756</v>
      </c>
      <c r="N79" s="143">
        <f>'[1]wc data'!G79</f>
        <v>-0.04600702697802356</v>
      </c>
      <c r="O79" s="143">
        <f>'[1]Div Fundas'!D79</f>
        <v>0.2401473818465245</v>
      </c>
      <c r="P79" s="143">
        <f>'[1]FundGREB'!D79</f>
        <v>0.23168776349833636</v>
      </c>
      <c r="Q79" s="142">
        <f>'[1]Mgn &amp; ROC'!D79</f>
        <v>0.5349178563402605</v>
      </c>
      <c r="R79" s="142">
        <f>'[1]ps'!H79</f>
        <v>2.3987754750064676</v>
      </c>
    </row>
    <row r="80" spans="1:18" ht="12.75">
      <c r="A80" t="str">
        <f>'[1]Master'!A80</f>
        <v>Recreation</v>
      </c>
      <c r="B80" s="57">
        <f>'[1]Master'!B80</f>
        <v>73</v>
      </c>
      <c r="C80" s="142">
        <f>'[1]Betas'!C80</f>
        <v>0.8742222222222225</v>
      </c>
      <c r="D80" s="142">
        <f>'[1]Betas'!H80</f>
        <v>1.4115337479320247</v>
      </c>
      <c r="E80" s="143">
        <f>'[1]Betas'!D80</f>
        <v>0.21132428910504028</v>
      </c>
      <c r="F80" s="143">
        <f>'[1]Debt Fundas'!C80</f>
        <v>0.17445723742662875</v>
      </c>
      <c r="G80" s="143">
        <f>'[1]roe'!E80</f>
        <v>0.1271907861792689</v>
      </c>
      <c r="H80" s="143">
        <f>'[1]roe'!C80</f>
        <v>-0.006511499385311221</v>
      </c>
      <c r="I80" s="143">
        <f>'[1]Betas'!E80</f>
        <v>2.6239443835616427</v>
      </c>
      <c r="J80" s="143">
        <f>'[1]margins'!E80</f>
        <v>0.18621568899119859</v>
      </c>
      <c r="K80" s="143">
        <f>'[1]margins'!F80</f>
        <v>-0.007223810877706985</v>
      </c>
      <c r="L80" s="143">
        <f>'[1]margins'!G80</f>
        <v>0.05091272962564735</v>
      </c>
      <c r="M80" s="143">
        <f>'[1]Cap Ex'!E80</f>
        <v>1.9472015008710413</v>
      </c>
      <c r="N80" s="143">
        <f>'[1]wc data'!G80</f>
        <v>0.010376902371966487</v>
      </c>
      <c r="O80" s="143">
        <f>'[1]Div Fundas'!D80</f>
        <v>0.2633877952755906</v>
      </c>
      <c r="P80" s="143" t="str">
        <f>'[1]FundGREB'!D80</f>
        <v>NA</v>
      </c>
      <c r="Q80" s="142">
        <f>'[1]Mgn &amp; ROC'!D80</f>
        <v>0.9013939450444376</v>
      </c>
      <c r="R80" s="142">
        <f>'[1]ps'!H80</f>
        <v>2.3613875318415034</v>
      </c>
    </row>
    <row r="81" spans="1:18" ht="12.75">
      <c r="A81" t="str">
        <f>'[1]Master'!A81</f>
        <v>Restaurant</v>
      </c>
      <c r="B81" s="57">
        <f>'[1]Master'!B81</f>
        <v>85</v>
      </c>
      <c r="C81" s="142">
        <f>'[1]Betas'!C81</f>
        <v>0.743478260869565</v>
      </c>
      <c r="D81" s="142">
        <f>'[1]Betas'!H81</f>
        <v>0.6639542700084445</v>
      </c>
      <c r="E81" s="143">
        <f>'[1]Betas'!D81</f>
        <v>0.20307318969821617</v>
      </c>
      <c r="F81" s="143">
        <f>'[1]Debt Fundas'!C81</f>
        <v>0.16879537457663393</v>
      </c>
      <c r="G81" s="143">
        <f>'[1]roe'!E81</f>
        <v>0.16338517288237958</v>
      </c>
      <c r="H81" s="143">
        <f>'[1]roe'!C81</f>
        <v>0.16743991695197658</v>
      </c>
      <c r="I81" s="143">
        <f>'[1]Betas'!E81</f>
        <v>0.26913282352941176</v>
      </c>
      <c r="J81" s="143">
        <f>'[1]margins'!E81</f>
        <v>0.18495949901063302</v>
      </c>
      <c r="K81" s="143">
        <f>'[1]margins'!F81</f>
        <v>0.11955937099865496</v>
      </c>
      <c r="L81" s="143">
        <f>'[1]margins'!G81</f>
        <v>0.05070001211469824</v>
      </c>
      <c r="M81" s="143">
        <f>'[1]Cap Ex'!E81</f>
        <v>1.975212570982183</v>
      </c>
      <c r="N81" s="143">
        <f>'[1]wc data'!G81</f>
        <v>-0.059751866129478165</v>
      </c>
      <c r="O81" s="143">
        <f>'[1]Div Fundas'!D81</f>
        <v>0.1559645596525275</v>
      </c>
      <c r="P81" s="143">
        <f>'[1]FundGREB'!D81</f>
        <v>0.3761366410044846</v>
      </c>
      <c r="Q81" s="142">
        <f>'[1]Mgn &amp; ROC'!D81</f>
        <v>1.400475057315752</v>
      </c>
      <c r="R81" s="142">
        <f>'[1]ps'!H81</f>
        <v>1.747862066394759</v>
      </c>
    </row>
    <row r="82" spans="1:18" ht="12.75">
      <c r="A82" t="str">
        <f>'[1]Master'!A82</f>
        <v>Retail (Special Lines)</v>
      </c>
      <c r="B82" s="57">
        <f>'[1]Master'!B82</f>
        <v>196</v>
      </c>
      <c r="C82" s="142">
        <f>'[1]Betas'!C82</f>
        <v>0.9384558823529412</v>
      </c>
      <c r="D82" s="142">
        <f>'[1]Betas'!H82</f>
        <v>0.9332582931805816</v>
      </c>
      <c r="E82" s="143">
        <f>'[1]Betas'!D82</f>
        <v>0.14459427729483865</v>
      </c>
      <c r="F82" s="143">
        <f>'[1]Debt Fundas'!C82</f>
        <v>0.12632797504158086</v>
      </c>
      <c r="G82" s="143">
        <f>'[1]roe'!E82</f>
        <v>0.12229223160497005</v>
      </c>
      <c r="H82" s="143">
        <f>'[1]roe'!C82</f>
        <v>0.14485495308637325</v>
      </c>
      <c r="I82" s="143">
        <f>'[1]Betas'!E82</f>
        <v>0.2576942857142857</v>
      </c>
      <c r="J82" s="143">
        <f>'[1]margins'!E82</f>
        <v>0.09127082629596678</v>
      </c>
      <c r="K82" s="143">
        <f>'[1]margins'!F82</f>
        <v>0.05738592663230529</v>
      </c>
      <c r="L82" s="143">
        <f>'[1]margins'!G82</f>
        <v>0.021441722769728413</v>
      </c>
      <c r="M82" s="143">
        <f>'[1]Cap Ex'!E82</f>
        <v>1.0648455610550718</v>
      </c>
      <c r="N82" s="143">
        <f>'[1]wc data'!G82</f>
        <v>0.07310839876358739</v>
      </c>
      <c r="O82" s="143">
        <f>'[1]Div Fundas'!D82</f>
        <v>0.1630683128309025</v>
      </c>
      <c r="P82" s="143">
        <f>'[1]FundGREB'!D82</f>
        <v>0.15692354751800794</v>
      </c>
      <c r="Q82" s="142">
        <f>'[1]Mgn &amp; ROC'!D82</f>
        <v>2.5242243453611404</v>
      </c>
      <c r="R82" s="142">
        <f>'[1]ps'!H82</f>
        <v>0.888540051896498</v>
      </c>
    </row>
    <row r="83" spans="1:18" ht="12.75">
      <c r="A83" t="str">
        <f>'[1]Master'!A83</f>
        <v>Retail Building Supply</v>
      </c>
      <c r="B83" s="57">
        <f>'[1]Master'!B83</f>
        <v>8</v>
      </c>
      <c r="C83" s="142">
        <f>'[1]Betas'!C83</f>
        <v>1.0142857142857145</v>
      </c>
      <c r="D83" s="142">
        <f>'[1]Betas'!H83</f>
        <v>1.0122773432830552</v>
      </c>
      <c r="E83" s="143">
        <f>'[1]Betas'!D83</f>
        <v>0.04569196529954126</v>
      </c>
      <c r="F83" s="143">
        <f>'[1]Debt Fundas'!C83</f>
        <v>0.04369543499978283</v>
      </c>
      <c r="G83" s="143">
        <f>'[1]roe'!E83</f>
        <v>0.17888566983207255</v>
      </c>
      <c r="H83" s="143">
        <f>'[1]roe'!C83</f>
        <v>0.18106069980256445</v>
      </c>
      <c r="I83" s="143">
        <f>'[1]Betas'!E83</f>
        <v>0.37303125</v>
      </c>
      <c r="J83" s="143">
        <f>'[1]margins'!E83</f>
        <v>0.1132628530304124</v>
      </c>
      <c r="K83" s="143">
        <f>'[1]margins'!F83</f>
        <v>0.07061283722593728</v>
      </c>
      <c r="L83" s="143">
        <f>'[1]margins'!G83</f>
        <v>0.06492959625855027</v>
      </c>
      <c r="M83" s="143">
        <f>'[1]Cap Ex'!E83</f>
        <v>3.2574098137491494</v>
      </c>
      <c r="N83" s="143">
        <f>'[1]wc data'!G83</f>
        <v>0.04204318504470096</v>
      </c>
      <c r="O83" s="143">
        <f>'[1]Div Fundas'!D83</f>
        <v>0.1445741171177926</v>
      </c>
      <c r="P83" s="143">
        <f>'[1]FundGREB'!D83</f>
        <v>0.6435953876760131</v>
      </c>
      <c r="Q83" s="142">
        <f>'[1]Mgn &amp; ROC'!D83</f>
        <v>2.564132910043414</v>
      </c>
      <c r="R83" s="142">
        <f>'[1]ps'!H83</f>
        <v>1.4226444769648408</v>
      </c>
    </row>
    <row r="84" spans="1:18" ht="12.75">
      <c r="A84" t="str">
        <f>'[1]Master'!A84</f>
        <v>Retail Store</v>
      </c>
      <c r="B84" s="57">
        <f>'[1]Master'!B84</f>
        <v>43</v>
      </c>
      <c r="C84" s="142">
        <f>'[1]Betas'!C84</f>
        <v>0.9092105263157896</v>
      </c>
      <c r="D84" s="142">
        <f>'[1]Betas'!H84</f>
        <v>0.7970972074018321</v>
      </c>
      <c r="E84" s="143">
        <f>'[1]Betas'!D84</f>
        <v>0.23840101926573598</v>
      </c>
      <c r="F84" s="143">
        <f>'[1]Debt Fundas'!C84</f>
        <v>0.19250712455573318</v>
      </c>
      <c r="G84" s="143">
        <f>'[1]roe'!E84</f>
        <v>0.16021669820368595</v>
      </c>
      <c r="H84" s="143">
        <f>'[1]roe'!C84</f>
        <v>0.132856310693479</v>
      </c>
      <c r="I84" s="143">
        <f>'[1]Betas'!E84</f>
        <v>0.2877620930232557</v>
      </c>
      <c r="J84" s="143">
        <f>'[1]margins'!E84</f>
        <v>0.07704925345576118</v>
      </c>
      <c r="K84" s="143">
        <f>'[1]margins'!F84</f>
        <v>0.04939346716044111</v>
      </c>
      <c r="L84" s="143">
        <f>'[1]margins'!G84</f>
        <v>0.010258216433749417</v>
      </c>
      <c r="M84" s="143">
        <f>'[1]Cap Ex'!E84</f>
        <v>1.991251194994061</v>
      </c>
      <c r="N84" s="143">
        <f>'[1]wc data'!G84</f>
        <v>0.1007858646810109</v>
      </c>
      <c r="O84" s="143">
        <f>'[1]Div Fundas'!D84</f>
        <v>0.17214252757854118</v>
      </c>
      <c r="P84" s="143">
        <f>'[1]FundGREB'!D84</f>
        <v>0.6093143698481468</v>
      </c>
      <c r="Q84" s="142">
        <f>'[1]Mgn &amp; ROC'!D84</f>
        <v>2.689754705048985</v>
      </c>
      <c r="R84" s="142">
        <f>'[1]ps'!H84</f>
        <v>0.8931275823097602</v>
      </c>
    </row>
    <row r="85" spans="1:18" ht="12.75">
      <c r="A85" t="str">
        <f>'[1]Master'!A85</f>
        <v>Securities Brokerage</v>
      </c>
      <c r="B85" s="57">
        <f>'[1]Master'!B85</f>
        <v>27</v>
      </c>
      <c r="C85" s="142">
        <f>'[1]Betas'!C85</f>
        <v>1.3071428571428572</v>
      </c>
      <c r="D85" s="142">
        <f>'[1]Betas'!H85</f>
        <v>0.8095564349887386</v>
      </c>
      <c r="E85" s="143">
        <f>'[1]Betas'!D85</f>
        <v>1.719383854604636</v>
      </c>
      <c r="F85" s="143">
        <f>'[1]Debt Fundas'!C85</f>
        <v>0.6322696414091246</v>
      </c>
      <c r="G85" s="143">
        <f>'[1]roe'!E85</f>
        <v>0.12103685702713649</v>
      </c>
      <c r="H85" s="143">
        <f>'[1]roe'!C85</f>
        <v>0.09489786481026792</v>
      </c>
      <c r="I85" s="143">
        <f>'[1]Betas'!E85</f>
        <v>0.18432222222222222</v>
      </c>
      <c r="J85" s="143">
        <f>'[1]margins'!E85</f>
        <v>0.5398918258018411</v>
      </c>
      <c r="K85" s="143">
        <f>'[1]margins'!F85</f>
        <v>0.3669859080667536</v>
      </c>
      <c r="L85" s="143">
        <f>'[1]margins'!G85</f>
        <v>0.03013493631510362</v>
      </c>
      <c r="M85" s="143">
        <f>'[1]Cap Ex'!E85</f>
        <v>1.3047253507833638</v>
      </c>
      <c r="N85" s="143">
        <f>'[1]wc data'!G85</f>
        <v>1.6915868678801125</v>
      </c>
      <c r="O85" s="143">
        <f>'[1]Div Fundas'!D85</f>
        <v>0.23568197028510246</v>
      </c>
      <c r="P85" s="143">
        <f>'[1]FundGREB'!D85</f>
        <v>0.4807041183929357</v>
      </c>
      <c r="Q85" s="142">
        <f>'[1]Mgn &amp; ROC'!D85</f>
        <v>0.25858721744979457</v>
      </c>
      <c r="R85" s="142">
        <f>'[1]ps'!H85</f>
        <v>3.338390012190508</v>
      </c>
    </row>
    <row r="86" spans="1:18" ht="12.75">
      <c r="A86" t="str">
        <f>'[1]Master'!A86</f>
        <v>Semiconductor</v>
      </c>
      <c r="B86" s="57">
        <f>'[1]Master'!B86</f>
        <v>113</v>
      </c>
      <c r="C86" s="142">
        <f>'[1]Betas'!C86</f>
        <v>2.5904545454545453</v>
      </c>
      <c r="D86" s="142">
        <f>'[1]Betas'!H86</f>
        <v>2.7247192356623167</v>
      </c>
      <c r="E86" s="143">
        <f>'[1]Betas'!D86</f>
        <v>0.06078714174212467</v>
      </c>
      <c r="F86" s="143">
        <f>'[1]Debt Fundas'!C86</f>
        <v>0.05730380709771264</v>
      </c>
      <c r="G86" s="143">
        <f>'[1]roe'!E86</f>
        <v>0.028907597037926967</v>
      </c>
      <c r="H86" s="143">
        <f>'[1]roe'!C86</f>
        <v>0.10982557564271846</v>
      </c>
      <c r="I86" s="143">
        <f>'[1]Betas'!E86</f>
        <v>0.1932052212389381</v>
      </c>
      <c r="J86" s="143">
        <f>'[1]margins'!E86</f>
        <v>0.21092140013732688</v>
      </c>
      <c r="K86" s="143">
        <f>'[1]margins'!F86</f>
        <v>0.14700478148389826</v>
      </c>
      <c r="L86" s="143">
        <f>'[1]margins'!G86</f>
        <v>0.03593529429325691</v>
      </c>
      <c r="M86" s="143">
        <f>'[1]Cap Ex'!E86</f>
        <v>0.7396179497169574</v>
      </c>
      <c r="N86" s="143">
        <f>'[1]wc data'!G86</f>
        <v>0.07987307923591654</v>
      </c>
      <c r="O86" s="143">
        <f>'[1]Div Fundas'!D86</f>
        <v>0.4528225358373153</v>
      </c>
      <c r="P86" s="143">
        <f>'[1]FundGREB'!D86</f>
        <v>-0.2570867148865736</v>
      </c>
      <c r="Q86" s="142">
        <f>'[1]Mgn &amp; ROC'!D86</f>
        <v>0.7470884588522577</v>
      </c>
      <c r="R86" s="142">
        <f>'[1]ps'!H86</f>
        <v>4.371563095740734</v>
      </c>
    </row>
    <row r="87" spans="1:18" ht="12.75">
      <c r="A87" t="str">
        <f>'[1]Master'!A87</f>
        <v>Semiconductor Equip</v>
      </c>
      <c r="B87" s="57">
        <f>'[1]Master'!B87</f>
        <v>15</v>
      </c>
      <c r="C87" s="142">
        <f>'[1]Betas'!C87</f>
        <v>2.5015384615384617</v>
      </c>
      <c r="D87" s="142">
        <f>'[1]Betas'!H87</f>
        <v>2.6682259589404116</v>
      </c>
      <c r="E87" s="143">
        <f>'[1]Betas'!D87</f>
        <v>0.07982305816138004</v>
      </c>
      <c r="F87" s="143">
        <f>'[1]Debt Fundas'!C87</f>
        <v>0.07392235010918839</v>
      </c>
      <c r="G87" s="143">
        <f>'[1]roe'!E87</f>
        <v>-0.027730821597942556</v>
      </c>
      <c r="H87" s="143">
        <f>'[1]roe'!C87</f>
        <v>0.04271877585248651</v>
      </c>
      <c r="I87" s="143">
        <f>'[1]Betas'!E87</f>
        <v>0.03239733333333333</v>
      </c>
      <c r="J87" s="143">
        <f>'[1]margins'!E87</f>
        <v>0.08289713548407972</v>
      </c>
      <c r="K87" s="143">
        <f>'[1]margins'!F87</f>
        <v>0.07026156282358272</v>
      </c>
      <c r="L87" s="143">
        <f>'[1]margins'!G87</f>
        <v>-0.0473805979808439</v>
      </c>
      <c r="M87" s="143">
        <f>'[1]Cap Ex'!E87</f>
        <v>0.7102673325499413</v>
      </c>
      <c r="N87" s="143">
        <f>'[1]wc data'!G87</f>
        <v>0.2408264302355682</v>
      </c>
      <c r="O87" s="143" t="str">
        <f>'[1]Div Fundas'!D87</f>
        <v>NA</v>
      </c>
      <c r="P87" s="143">
        <f>'[1]FundGREB'!D87</f>
        <v>-0.2228467440907962</v>
      </c>
      <c r="Q87" s="142">
        <f>'[1]Mgn &amp; ROC'!D87</f>
        <v>0.6079963800370849</v>
      </c>
      <c r="R87" s="142">
        <f>'[1]ps'!H87</f>
        <v>4.884327271550608</v>
      </c>
    </row>
    <row r="88" spans="1:18" ht="12.75">
      <c r="A88" t="str">
        <f>'[1]Master'!A88</f>
        <v>Shoe</v>
      </c>
      <c r="B88" s="57">
        <f>'[1]Master'!B88</f>
        <v>24</v>
      </c>
      <c r="C88" s="142">
        <f>'[1]Betas'!C88</f>
        <v>0.8229166666666666</v>
      </c>
      <c r="D88" s="142">
        <f>'[1]Betas'!H88</f>
        <v>0.8469861606620581</v>
      </c>
      <c r="E88" s="143">
        <f>'[1]Betas'!D88</f>
        <v>0.06676239632803203</v>
      </c>
      <c r="F88" s="143">
        <f>'[1]Debt Fundas'!C88</f>
        <v>0.06258412984732022</v>
      </c>
      <c r="G88" s="143">
        <f>'[1]roe'!E88</f>
        <v>0.15954042681851396</v>
      </c>
      <c r="H88" s="143">
        <f>'[1]roe'!C88</f>
        <v>0.17544079199313137</v>
      </c>
      <c r="I88" s="143">
        <f>'[1]Betas'!E88</f>
        <v>0.27032999999999996</v>
      </c>
      <c r="J88" s="143">
        <f>'[1]margins'!E88</f>
        <v>0.1126865647466436</v>
      </c>
      <c r="K88" s="143">
        <f>'[1]margins'!F88</f>
        <v>0.07433705208072759</v>
      </c>
      <c r="L88" s="143">
        <f>'[1]margins'!G88</f>
        <v>0.054538761368557814</v>
      </c>
      <c r="M88" s="143">
        <f>'[1]Cap Ex'!E88</f>
        <v>0.8475765306122449</v>
      </c>
      <c r="N88" s="143">
        <f>'[1]wc data'!G88</f>
        <v>0.1907232568211347</v>
      </c>
      <c r="O88" s="143">
        <f>'[1]Div Fundas'!D88</f>
        <v>0.20936512950094754</v>
      </c>
      <c r="P88" s="143">
        <f>'[1]FundGREB'!D88</f>
        <v>0.16714520726302756</v>
      </c>
      <c r="Q88" s="142">
        <f>'[1]Mgn &amp; ROC'!D88</f>
        <v>2.3600719571527864</v>
      </c>
      <c r="R88" s="142">
        <f>'[1]ps'!H88</f>
        <v>1.1833650931139021</v>
      </c>
    </row>
    <row r="89" spans="1:18" ht="12.75">
      <c r="A89" t="str">
        <f>'[1]Master'!A89</f>
        <v>Steel (General)</v>
      </c>
      <c r="B89" s="57">
        <f>'[1]Master'!B89</f>
        <v>27</v>
      </c>
      <c r="C89" s="142">
        <f>'[1]Betas'!C89</f>
        <v>0.7979999999999999</v>
      </c>
      <c r="D89" s="142">
        <f>'[1]Betas'!H89</f>
        <v>0.6273547145710484</v>
      </c>
      <c r="E89" s="143">
        <f>'[1]Betas'!D89</f>
        <v>0.41501056873629516</v>
      </c>
      <c r="F89" s="143">
        <f>'[1]Debt Fundas'!C89</f>
        <v>0.29329149753766787</v>
      </c>
      <c r="G89" s="143">
        <f>'[1]roe'!E89</f>
        <v>0.114335461404527</v>
      </c>
      <c r="H89" s="143">
        <f>'[1]roe'!C89</f>
        <v>0.12937943868026433</v>
      </c>
      <c r="I89" s="143">
        <f>'[1]Betas'!E89</f>
        <v>0.2057640740740741</v>
      </c>
      <c r="J89" s="143">
        <f>'[1]margins'!E89</f>
        <v>0.11127172351521183</v>
      </c>
      <c r="K89" s="143">
        <f>'[1]margins'!F89</f>
        <v>0.08607701052204837</v>
      </c>
      <c r="L89" s="143">
        <f>'[1]margins'!G89</f>
        <v>0.0035822875780861297</v>
      </c>
      <c r="M89" s="143">
        <f>'[1]Cap Ex'!E89</f>
        <v>1.218488120950324</v>
      </c>
      <c r="N89" s="143">
        <f>'[1]wc data'!G89</f>
        <v>0.1858403818158365</v>
      </c>
      <c r="O89" s="143">
        <f>'[1]Div Fundas'!D89</f>
        <v>0.4223368382886149</v>
      </c>
      <c r="P89" s="143">
        <f>'[1]FundGREB'!D89</f>
        <v>0.18994846489609749</v>
      </c>
      <c r="Q89" s="142">
        <f>'[1]Mgn &amp; ROC'!D89</f>
        <v>1.5030661252707442</v>
      </c>
      <c r="R89" s="142">
        <f>'[1]ps'!H89</f>
        <v>1.010201411539241</v>
      </c>
    </row>
    <row r="90" spans="1:18" ht="12.75">
      <c r="A90" t="str">
        <f>'[1]Master'!A90</f>
        <v>Steel (Integrated)</v>
      </c>
      <c r="B90" s="57">
        <f>'[1]Master'!B90</f>
        <v>14</v>
      </c>
      <c r="C90" s="142">
        <f>'[1]Betas'!C90</f>
        <v>0.8372727272727274</v>
      </c>
      <c r="D90" s="142">
        <f>'[1]Betas'!H90</f>
        <v>0.6314110498275178</v>
      </c>
      <c r="E90" s="143">
        <f>'[1]Betas'!D90</f>
        <v>0.6223926786314171</v>
      </c>
      <c r="F90" s="143">
        <f>'[1]Debt Fundas'!C90</f>
        <v>0.38362640982603646</v>
      </c>
      <c r="G90" s="143">
        <f>'[1]roe'!E90</f>
        <v>0.07117804321699246</v>
      </c>
      <c r="H90" s="143">
        <f>'[1]roe'!C90</f>
        <v>0.12117500748169875</v>
      </c>
      <c r="I90" s="143">
        <f>'[1]Betas'!E90</f>
        <v>0.27091499999999996</v>
      </c>
      <c r="J90" s="143">
        <f>'[1]margins'!E90</f>
        <v>0.13666798870820987</v>
      </c>
      <c r="K90" s="143">
        <f>'[1]margins'!F90</f>
        <v>0.08963665544227474</v>
      </c>
      <c r="L90" s="143">
        <f>'[1]margins'!G90</f>
        <v>0.0017730910108951778</v>
      </c>
      <c r="M90" s="143">
        <f>'[1]Cap Ex'!E90</f>
        <v>0.849645390070922</v>
      </c>
      <c r="N90" s="143">
        <f>'[1]wc data'!G90</f>
        <v>0.1459819009920496</v>
      </c>
      <c r="O90" s="143">
        <f>'[1]Div Fundas'!D90</f>
        <v>0.09352084769124741</v>
      </c>
      <c r="P90" s="143">
        <f>'[1]FundGREB'!D90</f>
        <v>-0.019530883833293922</v>
      </c>
      <c r="Q90" s="142">
        <f>'[1]Mgn &amp; ROC'!D90</f>
        <v>1.3518465953890308</v>
      </c>
      <c r="R90" s="142">
        <f>'[1]ps'!H90</f>
        <v>0.7536595924482914</v>
      </c>
    </row>
    <row r="91" spans="1:18" ht="12.75">
      <c r="A91" t="str">
        <f>'[1]Master'!A91</f>
        <v>Telecom. Equipment</v>
      </c>
      <c r="B91" s="57">
        <f>'[1]Master'!B91</f>
        <v>124</v>
      </c>
      <c r="C91" s="142">
        <f>'[1]Betas'!C91</f>
        <v>1.87</v>
      </c>
      <c r="D91" s="142">
        <f>'[1]Betas'!H91</f>
        <v>2.0053241871940126</v>
      </c>
      <c r="E91" s="143">
        <f>'[1]Betas'!D91</f>
        <v>0.03893723344965431</v>
      </c>
      <c r="F91" s="143">
        <f>'[1]Debt Fundas'!C91</f>
        <v>0.037477945920147984</v>
      </c>
      <c r="G91" s="143">
        <f>'[1]roe'!E91</f>
        <v>-0.06755676309277454</v>
      </c>
      <c r="H91" s="143">
        <f>'[1]roe'!C91</f>
        <v>0.027161946999961134</v>
      </c>
      <c r="I91" s="143">
        <f>'[1]Betas'!E91</f>
        <v>0.08683217741935485</v>
      </c>
      <c r="J91" s="143">
        <f>'[1]margins'!E91</f>
        <v>0.07414594511666164</v>
      </c>
      <c r="K91" s="143">
        <f>'[1]margins'!F91</f>
        <v>0.029207283271537873</v>
      </c>
      <c r="L91" s="143">
        <f>'[1]margins'!G91</f>
        <v>0.010683005506968853</v>
      </c>
      <c r="M91" s="143">
        <f>'[1]Cap Ex'!E91</f>
        <v>0.4938599135765249</v>
      </c>
      <c r="N91" s="143">
        <f>'[1]wc data'!G91</f>
        <v>-0.03337435179056811</v>
      </c>
      <c r="O91" s="143" t="str">
        <f>'[1]Div Fundas'!D91</f>
        <v>NA</v>
      </c>
      <c r="P91" s="143">
        <f>'[1]FundGREB'!D91</f>
        <v>-1.4205662629203257</v>
      </c>
      <c r="Q91" s="142">
        <f>'[1]Mgn &amp; ROC'!D91</f>
        <v>0.9299717042300236</v>
      </c>
      <c r="R91" s="142">
        <f>'[1]ps'!H91</f>
        <v>4.498130072419532</v>
      </c>
    </row>
    <row r="92" spans="1:18" ht="12.75">
      <c r="A92" t="str">
        <f>'[1]Master'!A92</f>
        <v>Telecom. Services</v>
      </c>
      <c r="B92" s="57">
        <f>'[1]Master'!B92</f>
        <v>137</v>
      </c>
      <c r="C92" s="142">
        <f>'[1]Betas'!C92</f>
        <v>1.3529310344827583</v>
      </c>
      <c r="D92" s="142">
        <f>'[1]Betas'!H92</f>
        <v>0.96397878072071</v>
      </c>
      <c r="E92" s="143">
        <f>'[1]Betas'!D92</f>
        <v>0.5510534151748462</v>
      </c>
      <c r="F92" s="143">
        <f>'[1]Debt Fundas'!C92</f>
        <v>0.3552768781420254</v>
      </c>
      <c r="G92" s="143">
        <f>'[1]roe'!E92</f>
        <v>0.10698818009564198</v>
      </c>
      <c r="H92" s="143">
        <f>'[1]roe'!C92</f>
        <v>0.17847827746596365</v>
      </c>
      <c r="I92" s="143">
        <f>'[1]Betas'!E92</f>
        <v>0.12038408759124086</v>
      </c>
      <c r="J92" s="143">
        <f>'[1]margins'!E92</f>
        <v>0.36547548863690604</v>
      </c>
      <c r="K92" s="143">
        <f>'[1]margins'!F92</f>
        <v>0.24821076059073827</v>
      </c>
      <c r="L92" s="143">
        <f>'[1]margins'!G92</f>
        <v>0.05139124657133512</v>
      </c>
      <c r="M92" s="143">
        <f>'[1]Cap Ex'!E92</f>
        <v>0.9344629303318085</v>
      </c>
      <c r="N92" s="143">
        <f>'[1]wc data'!G92</f>
        <v>-0.01685730341125618</v>
      </c>
      <c r="O92" s="143">
        <f>'[1]Div Fundas'!D92</f>
        <v>0.7468983422326169</v>
      </c>
      <c r="P92" s="143">
        <f>'[1]FundGREB'!D92</f>
        <v>-0.05359902776680759</v>
      </c>
      <c r="Q92" s="142">
        <f>'[1]Mgn &amp; ROC'!D92</f>
        <v>0.7190593874382712</v>
      </c>
      <c r="R92" s="142">
        <f>'[1]ps'!H92</f>
        <v>2.2150230793400447</v>
      </c>
    </row>
    <row r="93" spans="1:18" ht="12.75">
      <c r="A93" t="str">
        <f>'[1]Master'!A93</f>
        <v>Textile</v>
      </c>
      <c r="B93" s="57">
        <f>'[1]Master'!B93</f>
        <v>18</v>
      </c>
      <c r="C93" s="142">
        <f>'[1]Betas'!C93</f>
        <v>0.7307692307692307</v>
      </c>
      <c r="D93" s="142">
        <f>'[1]Betas'!H93</f>
        <v>0.5213219447723824</v>
      </c>
      <c r="E93" s="143">
        <f>'[1]Betas'!D93</f>
        <v>0.8619288804473989</v>
      </c>
      <c r="F93" s="143">
        <f>'[1]Debt Fundas'!C93</f>
        <v>0.4629225581593041</v>
      </c>
      <c r="G93" s="143">
        <f>'[1]roe'!E93</f>
        <v>-0.015895636921727692</v>
      </c>
      <c r="H93" s="143">
        <f>'[1]roe'!C93</f>
        <v>0.05769810618547758</v>
      </c>
      <c r="I93" s="143">
        <f>'[1]Betas'!E93</f>
        <v>0.41733111111111115</v>
      </c>
      <c r="J93" s="143">
        <f>'[1]margins'!E93</f>
        <v>0.09150403540441389</v>
      </c>
      <c r="K93" s="143">
        <f>'[1]margins'!F93</f>
        <v>0.03872858964653818</v>
      </c>
      <c r="L93" s="143">
        <f>'[1]margins'!G93</f>
        <v>-0.004871988974941285</v>
      </c>
      <c r="M93" s="143">
        <f>'[1]Cap Ex'!E93</f>
        <v>0.5196538045438153</v>
      </c>
      <c r="N93" s="143">
        <f>'[1]wc data'!G93</f>
        <v>0.20208078572953667</v>
      </c>
      <c r="O93" s="143" t="str">
        <f>'[1]Div Fundas'!D93</f>
        <v>NA</v>
      </c>
      <c r="P93" s="143">
        <f>'[1]FundGREB'!D93</f>
        <v>-0.7739470626056117</v>
      </c>
      <c r="Q93" s="142">
        <f>'[1]Mgn &amp; ROC'!D93</f>
        <v>1.489806541164223</v>
      </c>
      <c r="R93" s="142">
        <f>'[1]ps'!H93</f>
        <v>0.6392010714493682</v>
      </c>
    </row>
    <row r="94" spans="1:18" ht="12.75">
      <c r="A94" t="str">
        <f>'[1]Master'!A94</f>
        <v>Thrift</v>
      </c>
      <c r="B94" s="57">
        <f>'[1]Master'!B94</f>
        <v>242</v>
      </c>
      <c r="C94" s="142">
        <f>'[1]Betas'!C94</f>
        <v>0.5675392670157068</v>
      </c>
      <c r="D94" s="142">
        <f>'[1]Betas'!H94</f>
        <v>0.5692487241011223</v>
      </c>
      <c r="E94" s="143">
        <f>'[1]Betas'!D94</f>
        <v>0.23845060790273556</v>
      </c>
      <c r="F94" s="143">
        <f>'[1]Debt Fundas'!C94</f>
        <v>0.19253945727116376</v>
      </c>
      <c r="G94" s="143">
        <f>'[1]roe'!E94</f>
        <v>0.14956057646979593</v>
      </c>
      <c r="H94" s="143" t="str">
        <f>'[1]roe'!C94</f>
        <v>NA</v>
      </c>
      <c r="I94" s="143">
        <f>'[1]Betas'!E94</f>
        <v>0.30010099173553706</v>
      </c>
      <c r="J94" s="143" t="str">
        <f>'[1]margins'!E94</f>
        <v>NA</v>
      </c>
      <c r="K94" s="143" t="str">
        <f>'[1]margins'!F94</f>
        <v>NA</v>
      </c>
      <c r="L94" s="143" t="str">
        <f>'[1]margins'!G94</f>
        <v>NA</v>
      </c>
      <c r="M94" s="143" t="str">
        <f>'[1]Cap Ex'!E94</f>
        <v>NA</v>
      </c>
      <c r="N94" s="143" t="str">
        <f>'[1]wc data'!G94</f>
        <v>NA</v>
      </c>
      <c r="O94" s="143">
        <f>'[1]Div Fundas'!D94</f>
        <v>0.3669912082221698</v>
      </c>
      <c r="P94" s="143">
        <f>'[1]FundGREB'!D94</f>
        <v>0</v>
      </c>
      <c r="Q94" s="142" t="str">
        <f>'[1]Mgn &amp; ROC'!D94</f>
        <v>NA</v>
      </c>
      <c r="R94" s="142" t="str">
        <f>'[1]ps'!H94</f>
        <v>NA</v>
      </c>
    </row>
    <row r="95" spans="1:18" ht="12.75">
      <c r="A95" t="str">
        <f>'[1]Master'!A95</f>
        <v>Tire &amp; Rubber</v>
      </c>
      <c r="B95" s="57">
        <f>'[1]Master'!B95</f>
        <v>12</v>
      </c>
      <c r="C95" s="142">
        <f>'[1]Betas'!C95</f>
        <v>0.95</v>
      </c>
      <c r="D95" s="142">
        <f>'[1]Betas'!H95</f>
        <v>0.6616636091861321</v>
      </c>
      <c r="E95" s="143">
        <f>'[1]Betas'!D95</f>
        <v>0.7402799158275312</v>
      </c>
      <c r="F95" s="143">
        <f>'[1]Debt Fundas'!C95</f>
        <v>0.4253797961436084</v>
      </c>
      <c r="G95" s="143">
        <f>'[1]roe'!E95</f>
        <v>0.08141581987213146</v>
      </c>
      <c r="H95" s="143">
        <f>'[1]roe'!C95</f>
        <v>0.17897271222020422</v>
      </c>
      <c r="I95" s="143">
        <f>'[1]Betas'!E95</f>
        <v>0.18121166666666666</v>
      </c>
      <c r="J95" s="143">
        <f>'[1]margins'!E95</f>
        <v>0.08228622329604397</v>
      </c>
      <c r="K95" s="143">
        <f>'[1]margins'!F95</f>
        <v>0.06815290654906521</v>
      </c>
      <c r="L95" s="143">
        <f>'[1]margins'!G95</f>
        <v>0.00874825416642341</v>
      </c>
      <c r="M95" s="143">
        <f>'[1]Cap Ex'!E95</f>
        <v>0.7299247176913426</v>
      </c>
      <c r="N95" s="143">
        <f>'[1]wc data'!G95</f>
        <v>0.0888971720864227</v>
      </c>
      <c r="O95" s="143">
        <f>'[1]Div Fundas'!D95</f>
        <v>0.417298937784522</v>
      </c>
      <c r="P95" s="143">
        <f>'[1]FundGREB'!D95</f>
        <v>-0.052811012125758915</v>
      </c>
      <c r="Q95" s="142">
        <f>'[1]Mgn &amp; ROC'!D95</f>
        <v>2.626046654244404</v>
      </c>
      <c r="R95" s="142">
        <f>'[1]ps'!H95</f>
        <v>0.4946895223040063</v>
      </c>
    </row>
    <row r="96" spans="1:18" ht="12.75">
      <c r="A96" t="str">
        <f>'[1]Master'!A96</f>
        <v>Tobacco</v>
      </c>
      <c r="B96" s="57">
        <f>'[1]Master'!B96</f>
        <v>11</v>
      </c>
      <c r="C96" s="142">
        <f>'[1]Betas'!C96</f>
        <v>0.6681818181818181</v>
      </c>
      <c r="D96" s="142">
        <f>'[1]Betas'!H96</f>
        <v>0.5926241296582222</v>
      </c>
      <c r="E96" s="143">
        <f>'[1]Betas'!D96</f>
        <v>0.24339804029448597</v>
      </c>
      <c r="F96" s="143">
        <f>'[1]Debt Fundas'!C96</f>
        <v>0.1957523113329338</v>
      </c>
      <c r="G96" s="143">
        <f>'[1]roe'!E96</f>
        <v>0.39436913267852214</v>
      </c>
      <c r="H96" s="143">
        <f>'[1]roe'!C96</f>
        <v>0.299956940867625</v>
      </c>
      <c r="I96" s="143">
        <f>'[1]Betas'!E96</f>
        <v>0.30877818181818184</v>
      </c>
      <c r="J96" s="143">
        <f>'[1]margins'!E96</f>
        <v>0.22310523657386278</v>
      </c>
      <c r="K96" s="143">
        <f>'[1]margins'!F96</f>
        <v>0.14639051427665076</v>
      </c>
      <c r="L96" s="143">
        <f>'[1]margins'!G96</f>
        <v>0.07692526810193862</v>
      </c>
      <c r="M96" s="143">
        <f>'[1]Cap Ex'!E96</f>
        <v>1.4529758277473086</v>
      </c>
      <c r="N96" s="143">
        <f>'[1]wc data'!G96</f>
        <v>0.006220806587878847</v>
      </c>
      <c r="O96" s="143">
        <f>'[1]Div Fundas'!D96</f>
        <v>0.5636957088094087</v>
      </c>
      <c r="P96" s="143">
        <f>'[1]FundGREB'!D96</f>
        <v>0.0488541822527819</v>
      </c>
      <c r="Q96" s="142">
        <f>'[1]Mgn &amp; ROC'!D96</f>
        <v>2.0490189705923316</v>
      </c>
      <c r="R96" s="142">
        <f>'[1]ps'!H96</f>
        <v>1.3188550194056279</v>
      </c>
    </row>
    <row r="97" spans="1:18" ht="12.75">
      <c r="A97" t="str">
        <f>'[1]Master'!A97</f>
        <v>Toiletries/Cosmetics</v>
      </c>
      <c r="B97" s="57">
        <f>'[1]Master'!B97</f>
        <v>21</v>
      </c>
      <c r="C97" s="142">
        <f>'[1]Betas'!C97</f>
        <v>0.740625</v>
      </c>
      <c r="D97" s="142">
        <f>'[1]Betas'!H97</f>
        <v>0.6941504911571786</v>
      </c>
      <c r="E97" s="143">
        <f>'[1]Betas'!D97</f>
        <v>0.13606579837594512</v>
      </c>
      <c r="F97" s="143">
        <f>'[1]Debt Fundas'!C97</f>
        <v>0.11976929379482863</v>
      </c>
      <c r="G97" s="143">
        <f>'[1]roe'!E97</f>
        <v>0.5006998512816028</v>
      </c>
      <c r="H97" s="143">
        <f>'[1]roe'!C97</f>
        <v>0.24435568752548295</v>
      </c>
      <c r="I97" s="143">
        <f>'[1]Betas'!E97</f>
        <v>0.2507228571428572</v>
      </c>
      <c r="J97" s="143">
        <f>'[1]margins'!E97</f>
        <v>0.17730836325527854</v>
      </c>
      <c r="K97" s="143">
        <f>'[1]margins'!F97</f>
        <v>0.11927153623144984</v>
      </c>
      <c r="L97" s="143">
        <f>'[1]margins'!G97</f>
        <v>0.07611455666844194</v>
      </c>
      <c r="M97" s="143">
        <f>'[1]Cap Ex'!E97</f>
        <v>0.8622781600869249</v>
      </c>
      <c r="N97" s="143">
        <f>'[1]wc data'!G97</f>
        <v>0.0737059116601096</v>
      </c>
      <c r="O97" s="143">
        <f>'[1]Div Fundas'!D97</f>
        <v>0.43673014763693546</v>
      </c>
      <c r="P97" s="143">
        <f>'[1]FundGREB'!D97</f>
        <v>-0.007401526749959174</v>
      </c>
      <c r="Q97" s="142">
        <f>'[1]Mgn &amp; ROC'!D97</f>
        <v>2.048734301965422</v>
      </c>
      <c r="R97" s="142">
        <f>'[1]ps'!H97</f>
        <v>2.6758534196917894</v>
      </c>
    </row>
    <row r="98" spans="1:18" ht="12.75">
      <c r="A98" t="str">
        <f>'[1]Master'!A98</f>
        <v>Trucking</v>
      </c>
      <c r="B98" s="57">
        <f>'[1]Master'!B98</f>
        <v>39</v>
      </c>
      <c r="C98" s="142">
        <f>'[1]Betas'!C98</f>
        <v>0.8333333333333334</v>
      </c>
      <c r="D98" s="142">
        <f>'[1]Betas'!H98</f>
        <v>0.6281705559303865</v>
      </c>
      <c r="E98" s="143">
        <f>'[1]Betas'!D98</f>
        <v>0.5318012911943548</v>
      </c>
      <c r="F98" s="143">
        <f>'[1]Debt Fundas'!C98</f>
        <v>0.34717381050103835</v>
      </c>
      <c r="G98" s="143">
        <f>'[1]roe'!E98</f>
        <v>0.08998346730517075</v>
      </c>
      <c r="H98" s="143">
        <f>'[1]roe'!C98</f>
        <v>0.15900849679931958</v>
      </c>
      <c r="I98" s="143">
        <f>'[1]Betas'!E98</f>
        <v>0.27304051282051284</v>
      </c>
      <c r="J98" s="143">
        <f>'[1]margins'!E98</f>
        <v>0.13016501031831096</v>
      </c>
      <c r="K98" s="143">
        <f>'[1]margins'!F98</f>
        <v>0.08808122753459872</v>
      </c>
      <c r="L98" s="143">
        <f>'[1]margins'!G98</f>
        <v>0.013282931116664419</v>
      </c>
      <c r="M98" s="143">
        <f>'[1]Cap Ex'!E98</f>
        <v>2.5329646106368484</v>
      </c>
      <c r="N98" s="143">
        <f>'[1]wc data'!G98</f>
        <v>0.049930155091514744</v>
      </c>
      <c r="O98" s="143">
        <f>'[1]Div Fundas'!D98</f>
        <v>0.11985301571211354</v>
      </c>
      <c r="P98" s="143">
        <f>'[1]FundGREB'!D98</f>
        <v>1.2386688000531951</v>
      </c>
      <c r="Q98" s="142">
        <f>'[1]Mgn &amp; ROC'!D98</f>
        <v>1.805248419555237</v>
      </c>
      <c r="R98" s="142">
        <f>'[1]ps'!H98</f>
        <v>0.8606105023598487</v>
      </c>
    </row>
    <row r="99" spans="1:18" ht="12.75">
      <c r="A99" t="str">
        <f>'[1]Master'!A99</f>
        <v>Utility (Foreign)</v>
      </c>
      <c r="B99" s="57">
        <f>'[1]Master'!B99</f>
        <v>6</v>
      </c>
      <c r="C99" s="142">
        <f>'[1]Betas'!C99</f>
        <v>0.8275</v>
      </c>
      <c r="D99" s="142">
        <f>'[1]Betas'!H99</f>
        <v>0.539790540607914</v>
      </c>
      <c r="E99" s="143">
        <f>'[1]Betas'!D99</f>
        <v>0.8378161555731068</v>
      </c>
      <c r="F99" s="143">
        <f>'[1]Debt Fundas'!C99</f>
        <v>0.4558759335271167</v>
      </c>
      <c r="G99" s="143">
        <f>'[1]roe'!E99</f>
        <v>0.14436315677414774</v>
      </c>
      <c r="H99" s="143">
        <f>'[1]roe'!C99</f>
        <v>0.16930801991453143</v>
      </c>
      <c r="I99" s="143">
        <f>'[1]Betas'!E99</f>
        <v>0.1673916666666667</v>
      </c>
      <c r="J99" s="143">
        <f>'[1]margins'!E99</f>
        <v>0.27399050421900817</v>
      </c>
      <c r="K99" s="143">
        <f>'[1]margins'!F99</f>
        <v>0.1988212755972353</v>
      </c>
      <c r="L99" s="143">
        <f>'[1]margins'!G99</f>
        <v>0.012630245642411273</v>
      </c>
      <c r="M99" s="143">
        <f>'[1]Cap Ex'!E99</f>
        <v>1.3309542097488922</v>
      </c>
      <c r="N99" s="143">
        <f>'[1]wc data'!G99</f>
        <v>0.22853206365868745</v>
      </c>
      <c r="O99" s="143">
        <f>'[1]Div Fundas'!D99</f>
        <v>0.4275456277269097</v>
      </c>
      <c r="P99" s="143">
        <f>'[1]FundGREB'!D99</f>
        <v>0.27194443923510314</v>
      </c>
      <c r="Q99" s="142">
        <f>'[1]Mgn &amp; ROC'!D99</f>
        <v>0.8515588656493145</v>
      </c>
      <c r="R99" s="142">
        <f>'[1]ps'!H99</f>
        <v>1.4292944575809592</v>
      </c>
    </row>
    <row r="100" spans="1:18" ht="12.75">
      <c r="A100" t="str">
        <f>'[1]Master'!A100</f>
        <v>Water Utility</v>
      </c>
      <c r="B100" s="57">
        <f>'[1]Master'!B100</f>
        <v>16</v>
      </c>
      <c r="C100" s="142">
        <f>'[1]Betas'!C100</f>
        <v>0.5653846153846154</v>
      </c>
      <c r="D100" s="142">
        <f>'[1]Betas'!H100</f>
        <v>0.3924111010144036</v>
      </c>
      <c r="E100" s="143">
        <f>'[1]Betas'!D100</f>
        <v>0.6621888134497252</v>
      </c>
      <c r="F100" s="143">
        <f>'[1]Debt Fundas'!C100</f>
        <v>0.39838363012166544</v>
      </c>
      <c r="G100" s="143">
        <f>'[1]roe'!E100</f>
        <v>0.08335980236456679</v>
      </c>
      <c r="H100" s="143">
        <f>'[1]roe'!C100</f>
        <v>0.12026194464486707</v>
      </c>
      <c r="I100" s="143">
        <f>'[1]Betas'!E100</f>
        <v>0.30972375</v>
      </c>
      <c r="J100" s="143">
        <f>'[1]margins'!E100</f>
        <v>0.42988504903853575</v>
      </c>
      <c r="K100" s="143">
        <f>'[1]margins'!F100</f>
        <v>0.3217975225886168</v>
      </c>
      <c r="L100" s="143">
        <f>'[1]margins'!G100</f>
        <v>0.07537261564599582</v>
      </c>
      <c r="M100" s="143">
        <f>'[1]Cap Ex'!E100</f>
        <v>1.8690896259703602</v>
      </c>
      <c r="N100" s="143">
        <f>'[1]wc data'!G100</f>
        <v>0.04942466599737431</v>
      </c>
      <c r="O100" s="143">
        <f>'[1]Div Fundas'!D100</f>
        <v>0.5076545300592719</v>
      </c>
      <c r="P100" s="143">
        <f>'[1]FundGREB'!D100</f>
        <v>0.29945599715122523</v>
      </c>
      <c r="Q100" s="142">
        <f>'[1]Mgn &amp; ROC'!D100</f>
        <v>0.37371929925827585</v>
      </c>
      <c r="R100" s="142">
        <f>'[1]ps'!H100</f>
        <v>3.9259016140242484</v>
      </c>
    </row>
    <row r="101" spans="1:18" ht="12.75">
      <c r="A101" t="str">
        <f>'[1]Master'!A101</f>
        <v>Wireless Networking</v>
      </c>
      <c r="B101" s="57">
        <f>'[1]Master'!B101</f>
        <v>63</v>
      </c>
      <c r="C101" s="142">
        <f>'[1]Betas'!C101</f>
        <v>2.2096153846153848</v>
      </c>
      <c r="D101" s="142">
        <f>'[1]Betas'!H101</f>
        <v>1.6832070923340705</v>
      </c>
      <c r="E101" s="143">
        <f>'[1]Betas'!D101</f>
        <v>0.4850685635007627</v>
      </c>
      <c r="F101" s="143">
        <f>'[1]Debt Fundas'!C101</f>
        <v>0.32663041654946023</v>
      </c>
      <c r="G101" s="143">
        <f>'[1]roe'!E101</f>
        <v>-0.5266775900710021</v>
      </c>
      <c r="H101" s="143">
        <f>'[1]roe'!C101</f>
        <v>0.04311616645516075</v>
      </c>
      <c r="I101" s="143">
        <f>'[1]Betas'!E101</f>
        <v>0.05107888888888888</v>
      </c>
      <c r="J101" s="143">
        <f>'[1]margins'!E101</f>
        <v>0.06202710892830962</v>
      </c>
      <c r="K101" s="143">
        <f>'[1]margins'!F101</f>
        <v>0.056783630919220056</v>
      </c>
      <c r="L101" s="143">
        <f>'[1]margins'!G101</f>
        <v>-0.1138469432634511</v>
      </c>
      <c r="M101" s="143">
        <f>'[1]Cap Ex'!E101</f>
        <v>1.1685886553883977</v>
      </c>
      <c r="N101" s="143">
        <f>'[1]wc data'!G101</f>
        <v>0.014360064506670576</v>
      </c>
      <c r="O101" s="143" t="str">
        <f>'[1]Div Fundas'!D101</f>
        <v>NA</v>
      </c>
      <c r="P101" s="143">
        <f>'[1]FundGREB'!D101</f>
        <v>0.39760045092193286</v>
      </c>
      <c r="Q101" s="142">
        <f>'[1]Mgn &amp; ROC'!D101</f>
        <v>0.7593062605752962</v>
      </c>
      <c r="R101" s="142">
        <f>'[1]ps'!H101</f>
        <v>2.5534379123295703</v>
      </c>
    </row>
    <row r="102" spans="1:18" ht="12.75">
      <c r="A102" s="135" t="s">
        <v>29</v>
      </c>
      <c r="B102" s="136">
        <f>'[1]Master'!B102</f>
        <v>6958</v>
      </c>
      <c r="C102" s="137">
        <f>'[1]Betas'!C102</f>
        <v>0.9076686544912408</v>
      </c>
      <c r="D102" s="137">
        <f>'[1]Betas'!H102</f>
        <v>0.7838394828212296</v>
      </c>
      <c r="E102" s="138">
        <f>'[1]Betas'!D102</f>
        <v>0.3750863676354292</v>
      </c>
      <c r="F102" s="138">
        <f>'[1]Debt Fundas'!C102</f>
        <v>0.27277295191313705</v>
      </c>
      <c r="G102" s="138">
        <f>'[1]roe'!E102</f>
        <v>0.10118597577177166</v>
      </c>
      <c r="H102" s="138">
        <f>'[1]roe'!C102</f>
        <v>0.10239562587146586</v>
      </c>
      <c r="I102" s="138">
        <f>'[1]Betas'!E102</f>
        <v>0.32506738574303057</v>
      </c>
      <c r="J102" s="138">
        <f>'[1]margins'!E102</f>
        <v>0.22088435802200618</v>
      </c>
      <c r="K102" s="138">
        <f>'[1]margins'!F102</f>
        <v>0.1196068407034168</v>
      </c>
      <c r="L102" s="138">
        <f>'[1]margins'!G102</f>
        <v>0.04351305097396794</v>
      </c>
      <c r="M102" s="143">
        <f>'[1]Cap Ex'!E102</f>
        <v>1.0330807368070891</v>
      </c>
      <c r="N102" s="143">
        <f>'[1]wc data'!G102</f>
        <v>0.0964789630374989</v>
      </c>
      <c r="O102" s="138">
        <f>'[1]Div Fundas'!D102</f>
        <v>0.44793233215256956</v>
      </c>
      <c r="P102" s="138">
        <f>'[1]FundGREB'!D102</f>
        <v>0.06899661458456399</v>
      </c>
      <c r="Q102" s="142">
        <f>'[1]Mgn &amp; ROC'!D102</f>
        <v>0.8561017519505532</v>
      </c>
      <c r="R102" s="137">
        <f>'[1]ps'!H102</f>
        <v>2.100394145824422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83"/>
  <sheetViews>
    <sheetView workbookViewId="0" topLeftCell="A1">
      <selection activeCell="D28" sqref="D28"/>
    </sheetView>
  </sheetViews>
  <sheetFormatPr defaultColWidth="11.00390625" defaultRowHeight="12.75"/>
  <cols>
    <col min="1" max="1" width="49.875" style="0" bestFit="1" customWidth="1"/>
  </cols>
  <sheetData>
    <row r="1" s="123" customFormat="1" ht="12.75">
      <c r="A1" s="123" t="s">
        <v>173</v>
      </c>
    </row>
    <row r="2" s="123" customFormat="1" ht="12.75">
      <c r="A2" s="123" t="s">
        <v>104</v>
      </c>
    </row>
    <row r="3" s="26" customFormat="1" ht="18">
      <c r="A3" s="26" t="s">
        <v>157</v>
      </c>
    </row>
    <row r="4" spans="1:4" s="4" customFormat="1" ht="12.75">
      <c r="A4" s="4" t="s">
        <v>80</v>
      </c>
      <c r="B4" s="85" t="s">
        <v>380</v>
      </c>
      <c r="C4" s="4" t="s">
        <v>81</v>
      </c>
      <c r="D4" s="4" t="s">
        <v>54</v>
      </c>
    </row>
    <row r="5" spans="1:4" s="4" customFormat="1" ht="12.75">
      <c r="A5" s="4" t="s">
        <v>74</v>
      </c>
      <c r="B5" s="85" t="s">
        <v>380</v>
      </c>
      <c r="C5" s="4" t="s">
        <v>81</v>
      </c>
      <c r="D5" s="4" t="s">
        <v>203</v>
      </c>
    </row>
    <row r="6" spans="1:4" s="4" customFormat="1" ht="12.75">
      <c r="A6" s="4" t="s">
        <v>75</v>
      </c>
      <c r="B6" s="85" t="s">
        <v>353</v>
      </c>
      <c r="D6" s="4" t="s">
        <v>385</v>
      </c>
    </row>
    <row r="8" s="4" customFormat="1" ht="15.75">
      <c r="A8" s="55" t="s">
        <v>85</v>
      </c>
    </row>
    <row r="9" s="4" customFormat="1" ht="12.75">
      <c r="A9" s="7" t="s">
        <v>295</v>
      </c>
    </row>
    <row r="10" spans="1:3" s="4" customFormat="1" ht="12.75">
      <c r="A10" s="4" t="s">
        <v>428</v>
      </c>
      <c r="B10" s="82">
        <v>3455</v>
      </c>
      <c r="C10" s="4" t="s">
        <v>168</v>
      </c>
    </row>
    <row r="11" spans="1:2" s="4" customFormat="1" ht="12.75">
      <c r="A11" s="4" t="s">
        <v>36</v>
      </c>
      <c r="B11" s="82">
        <v>0</v>
      </c>
    </row>
    <row r="12" spans="1:2" s="4" customFormat="1" ht="12.75">
      <c r="A12" s="4" t="s">
        <v>176</v>
      </c>
      <c r="B12" s="82">
        <f>584+2516</f>
        <v>3100</v>
      </c>
    </row>
    <row r="13" spans="1:2" s="4" customFormat="1" ht="12.75">
      <c r="A13" s="4" t="s">
        <v>0</v>
      </c>
      <c r="B13" s="82">
        <v>486</v>
      </c>
    </row>
    <row r="14" spans="1:3" s="4" customFormat="1" ht="12.75">
      <c r="A14" s="4" t="s">
        <v>177</v>
      </c>
      <c r="B14" s="83">
        <v>0.35</v>
      </c>
      <c r="C14" s="4" t="s">
        <v>183</v>
      </c>
    </row>
    <row r="15" spans="1:3" s="4" customFormat="1" ht="12.75">
      <c r="A15" s="4" t="s">
        <v>154</v>
      </c>
      <c r="B15" s="82">
        <v>12154</v>
      </c>
      <c r="C15" s="84">
        <v>8488</v>
      </c>
    </row>
    <row r="16" spans="1:2" s="4" customFormat="1" ht="12.75">
      <c r="A16" s="4" t="s">
        <v>155</v>
      </c>
      <c r="B16" s="82">
        <f>(1242+652+705-361-2642)</f>
        <v>-404</v>
      </c>
    </row>
    <row r="17" spans="1:3" s="4" customFormat="1" ht="12.75">
      <c r="A17" s="4" t="s">
        <v>156</v>
      </c>
      <c r="B17" s="82">
        <f>B16-(1303+362+412-250-1531)</f>
        <v>-700</v>
      </c>
      <c r="C17" s="9" t="s">
        <v>183</v>
      </c>
    </row>
    <row r="18" spans="1:3" s="4" customFormat="1" ht="12.75">
      <c r="A18" s="4" t="s">
        <v>243</v>
      </c>
      <c r="B18" s="82">
        <v>0</v>
      </c>
      <c r="C18" s="84">
        <v>0</v>
      </c>
    </row>
    <row r="19" spans="1:3" s="4" customFormat="1" ht="12.75">
      <c r="A19" s="4" t="s">
        <v>88</v>
      </c>
      <c r="B19" s="82">
        <v>11722</v>
      </c>
      <c r="C19" s="84">
        <v>7191</v>
      </c>
    </row>
    <row r="20" spans="2:3" s="4" customFormat="1" ht="12.75">
      <c r="B20" s="11"/>
      <c r="C20" s="18"/>
    </row>
    <row r="21" spans="1:3" s="4" customFormat="1" ht="12.75">
      <c r="A21" s="4" t="s">
        <v>196</v>
      </c>
      <c r="B21" s="82">
        <f>827+1189</f>
        <v>2016</v>
      </c>
      <c r="C21" s="18"/>
    </row>
    <row r="22" spans="1:2" s="4" customFormat="1" ht="12.75">
      <c r="A22" s="4" t="s">
        <v>197</v>
      </c>
      <c r="B22" s="82">
        <v>7032</v>
      </c>
    </row>
    <row r="23" s="4" customFormat="1" ht="12.75">
      <c r="B23" s="88"/>
    </row>
    <row r="24" spans="1:2" s="7" customFormat="1" ht="12.75">
      <c r="A24" s="7" t="s">
        <v>228</v>
      </c>
      <c r="B24" s="97"/>
    </row>
    <row r="25" spans="1:2" s="4" customFormat="1" ht="12.75">
      <c r="A25" s="4" t="s">
        <v>227</v>
      </c>
      <c r="B25" s="82" t="s">
        <v>380</v>
      </c>
    </row>
    <row r="26" spans="1:2" s="8" customFormat="1" ht="12.75">
      <c r="A26" s="8" t="s">
        <v>215</v>
      </c>
      <c r="B26" s="98"/>
    </row>
    <row r="27" spans="1:4" s="4" customFormat="1" ht="12.75">
      <c r="A27" s="4" t="s">
        <v>248</v>
      </c>
      <c r="B27" s="82">
        <f>64.875</f>
        <v>64.875</v>
      </c>
      <c r="D27" s="68"/>
    </row>
    <row r="28" spans="1:4" s="4" customFormat="1" ht="12.75">
      <c r="A28" s="4" t="s">
        <v>352</v>
      </c>
      <c r="B28" s="86">
        <v>6890</v>
      </c>
      <c r="D28" s="68"/>
    </row>
    <row r="29" spans="1:2" s="4" customFormat="1" ht="12.75">
      <c r="A29" s="4" t="s">
        <v>417</v>
      </c>
      <c r="B29" s="82">
        <f>B18</f>
        <v>0</v>
      </c>
    </row>
    <row r="30" spans="1:2" s="8" customFormat="1" ht="12.75">
      <c r="A30" s="8" t="s">
        <v>412</v>
      </c>
      <c r="B30" s="98"/>
    </row>
    <row r="31" spans="1:2" s="4" customFormat="1" ht="12.75">
      <c r="A31" s="4" t="s">
        <v>306</v>
      </c>
      <c r="B31" s="82" t="s">
        <v>353</v>
      </c>
    </row>
    <row r="32" spans="1:2" s="4" customFormat="1" ht="12.75">
      <c r="A32" s="4" t="s">
        <v>307</v>
      </c>
      <c r="B32" s="126">
        <v>0.35</v>
      </c>
    </row>
    <row r="33" s="4" customFormat="1" ht="12.75">
      <c r="B33" s="89"/>
    </row>
    <row r="34" spans="1:2" s="4" customFormat="1" ht="12.75">
      <c r="A34" s="8" t="s">
        <v>391</v>
      </c>
      <c r="B34" s="89"/>
    </row>
    <row r="35" spans="1:2" s="4" customFormat="1" ht="12.75">
      <c r="A35" s="4" t="s">
        <v>184</v>
      </c>
      <c r="B35" s="87">
        <v>0.06</v>
      </c>
    </row>
    <row r="36" spans="1:2" s="4" customFormat="1" ht="12.75">
      <c r="A36" s="4" t="s">
        <v>185</v>
      </c>
      <c r="B36" s="87">
        <v>0.04</v>
      </c>
    </row>
    <row r="37" s="4" customFormat="1" ht="12.75"/>
    <row r="38" s="4" customFormat="1" ht="12.75">
      <c r="A38" s="8" t="s">
        <v>325</v>
      </c>
    </row>
    <row r="39" spans="1:3" s="4" customFormat="1" ht="12.75">
      <c r="A39" s="4" t="s">
        <v>229</v>
      </c>
      <c r="B39" s="85" t="s">
        <v>353</v>
      </c>
      <c r="C39" s="4" t="s">
        <v>181</v>
      </c>
    </row>
    <row r="40" spans="1:2" s="4" customFormat="1" ht="12.75">
      <c r="A40" s="4" t="s">
        <v>230</v>
      </c>
      <c r="B40" s="85">
        <v>2</v>
      </c>
    </row>
    <row r="41" spans="1:2" s="4" customFormat="1" ht="12.75">
      <c r="A41" s="4" t="s">
        <v>123</v>
      </c>
      <c r="B41" s="85" t="s">
        <v>11</v>
      </c>
    </row>
    <row r="42" spans="1:2" s="4" customFormat="1" ht="12.75">
      <c r="A42" s="4" t="s">
        <v>124</v>
      </c>
      <c r="B42" s="87">
        <v>0.062</v>
      </c>
    </row>
    <row r="44" s="8" customFormat="1" ht="12.75">
      <c r="A44" s="8" t="s">
        <v>233</v>
      </c>
    </row>
    <row r="45" spans="1:2" s="4" customFormat="1" ht="12.75">
      <c r="A45" s="4" t="s">
        <v>114</v>
      </c>
      <c r="B45" s="85" t="s">
        <v>380</v>
      </c>
    </row>
    <row r="46" spans="1:2" s="4" customFormat="1" ht="12.75">
      <c r="A46" s="4" t="s">
        <v>304</v>
      </c>
      <c r="B46" s="94">
        <v>439</v>
      </c>
    </row>
    <row r="47" spans="1:2" s="4" customFormat="1" ht="12.75">
      <c r="A47" s="4" t="s">
        <v>305</v>
      </c>
      <c r="B47" s="82">
        <v>22.52</v>
      </c>
    </row>
    <row r="48" spans="1:2" s="4" customFormat="1" ht="12.75">
      <c r="A48" s="4" t="s">
        <v>223</v>
      </c>
      <c r="B48" s="85">
        <v>6.8</v>
      </c>
    </row>
    <row r="49" spans="1:2" s="4" customFormat="1" ht="12.75">
      <c r="A49" s="4" t="s">
        <v>166</v>
      </c>
      <c r="B49" s="90">
        <v>0.402</v>
      </c>
    </row>
    <row r="50" spans="1:2" s="4" customFormat="1" ht="12.75">
      <c r="A50" s="4" t="s">
        <v>117</v>
      </c>
      <c r="B50" s="85" t="s">
        <v>118</v>
      </c>
    </row>
    <row r="51" s="4" customFormat="1" ht="12.75">
      <c r="B51" s="131"/>
    </row>
    <row r="52" s="7" customFormat="1" ht="12.75">
      <c r="A52" s="7" t="s">
        <v>296</v>
      </c>
    </row>
    <row r="53" s="8" customFormat="1" ht="12.75">
      <c r="A53" s="8" t="s">
        <v>297</v>
      </c>
    </row>
    <row r="54" spans="1:2" s="4" customFormat="1" ht="12.75">
      <c r="A54" s="4" t="s">
        <v>226</v>
      </c>
      <c r="B54" s="85">
        <v>12</v>
      </c>
    </row>
    <row r="55" spans="1:2" s="4" customFormat="1" ht="12.75">
      <c r="A55" s="4" t="s">
        <v>406</v>
      </c>
      <c r="B55" s="85">
        <v>1.43</v>
      </c>
    </row>
    <row r="56" spans="1:2" s="4" customFormat="1" ht="12.75">
      <c r="A56" s="4" t="s">
        <v>31</v>
      </c>
      <c r="B56" s="85" t="s">
        <v>380</v>
      </c>
    </row>
    <row r="57" spans="1:2" s="4" customFormat="1" ht="12.75">
      <c r="A57" s="4" t="s">
        <v>312</v>
      </c>
      <c r="B57" s="102">
        <f>IF(B25="Yes",IF(B5="Yes",1-(B27*B28+'Valuation Model'!F65)/(B29+B27*B28+'Valuation Model'!F65+'Operating lease converter'!C30),1-(B27*B28)/(B29+B27*B28)),IF(B31="Yes",B18/(B18+B19),B32))</f>
        <v>0.0017904985802238427</v>
      </c>
    </row>
    <row r="58" spans="1:2" s="4" customFormat="1" ht="12.75">
      <c r="A58" s="4" t="s">
        <v>377</v>
      </c>
      <c r="B58" s="104">
        <f>7%</f>
        <v>0.07</v>
      </c>
    </row>
    <row r="59" spans="1:2" s="4" customFormat="1" ht="12.75">
      <c r="A59" s="4" t="s">
        <v>415</v>
      </c>
      <c r="B59" s="85" t="s">
        <v>353</v>
      </c>
    </row>
    <row r="60" spans="1:2" s="4" customFormat="1" ht="12.75">
      <c r="A60" s="4" t="s">
        <v>416</v>
      </c>
      <c r="B60" s="104">
        <f>B16/B15</f>
        <v>-0.03324008556853711</v>
      </c>
    </row>
    <row r="61" spans="1:2" s="4" customFormat="1" ht="12.75">
      <c r="A61" s="4" t="s">
        <v>159</v>
      </c>
      <c r="B61" s="90">
        <v>0.12</v>
      </c>
    </row>
    <row r="62" spans="1:2" s="4" customFormat="1" ht="12.75">
      <c r="A62" s="4" t="s">
        <v>71</v>
      </c>
      <c r="B62" s="85" t="s">
        <v>380</v>
      </c>
    </row>
    <row r="63" spans="1:2" s="4" customFormat="1" ht="12.75">
      <c r="A63" s="4" t="s">
        <v>378</v>
      </c>
      <c r="B63" s="90">
        <v>0.15</v>
      </c>
    </row>
    <row r="64" spans="1:2" s="4" customFormat="1" ht="12.75">
      <c r="A64" s="4" t="s">
        <v>72</v>
      </c>
      <c r="B64" s="9"/>
    </row>
    <row r="65" spans="1:2" s="4" customFormat="1" ht="12.75">
      <c r="A65" s="4" t="s">
        <v>322</v>
      </c>
      <c r="B65" s="102">
        <f>IF('Master Inputs Start here'!B4="Yes",('Valuation Model'!D3*(1-'Valuation Model'!D7)+'R&amp;D converter'!D40)/('Valuation Model'!D11+'Valuation Model'!D12),('Valuation Model'!D3*(1-'Valuation Model'!D7))/('Valuation Model'!D11+'Valuation Model'!D12))</f>
        <v>0.3407431226211289</v>
      </c>
    </row>
    <row r="66" spans="1:2" s="4" customFormat="1" ht="12.75">
      <c r="A66" s="4" t="s">
        <v>73</v>
      </c>
      <c r="B66" s="102">
        <f>IF('Master Inputs Start here'!B4="Yes",('Valuation Model'!D5-'Valuation Model'!D6+'Valuation Model'!D10)/'Valuation Model'!C40,('Valuation Model'!D5-'Valuation Model'!D6+'Valuation Model'!D10)/'Valuation Model'!C40)</f>
        <v>1.068059132648995</v>
      </c>
    </row>
    <row r="67" spans="1:2" s="4" customFormat="1" ht="12.75">
      <c r="A67" s="4" t="s">
        <v>270</v>
      </c>
      <c r="B67" s="85" t="s">
        <v>353</v>
      </c>
    </row>
    <row r="68" spans="1:2" s="4" customFormat="1" ht="12.75">
      <c r="A68" s="4" t="s">
        <v>322</v>
      </c>
      <c r="B68" s="87">
        <v>0.16</v>
      </c>
    </row>
    <row r="69" spans="1:2" s="4" customFormat="1" ht="12.75">
      <c r="A69" s="4" t="s">
        <v>73</v>
      </c>
      <c r="B69" s="87">
        <v>0.8</v>
      </c>
    </row>
    <row r="70" s="4" customFormat="1" ht="12.75">
      <c r="B70" s="120"/>
    </row>
    <row r="71" spans="1:2" s="4" customFormat="1" ht="12.75">
      <c r="A71" s="4" t="s">
        <v>421</v>
      </c>
      <c r="B71" s="87" t="s">
        <v>380</v>
      </c>
    </row>
    <row r="72" s="4" customFormat="1" ht="12.75">
      <c r="B72" s="101"/>
    </row>
    <row r="73" spans="1:2" s="8" customFormat="1" ht="12.75">
      <c r="A73" s="8" t="s">
        <v>308</v>
      </c>
      <c r="B73" s="19"/>
    </row>
    <row r="74" spans="1:2" s="4" customFormat="1" ht="12.75">
      <c r="A74" s="4" t="s">
        <v>222</v>
      </c>
      <c r="B74" s="87">
        <v>0.05</v>
      </c>
    </row>
    <row r="75" spans="1:2" s="4" customFormat="1" ht="12.75">
      <c r="A75" s="20" t="s">
        <v>256</v>
      </c>
      <c r="B75" s="94">
        <v>1</v>
      </c>
    </row>
    <row r="76" spans="1:2" s="4" customFormat="1" ht="12.75">
      <c r="A76" s="20" t="s">
        <v>175</v>
      </c>
      <c r="B76" s="87">
        <f>B36</f>
        <v>0.04</v>
      </c>
    </row>
    <row r="77" spans="1:2" s="4" customFormat="1" ht="12.75">
      <c r="A77" s="4" t="s">
        <v>174</v>
      </c>
      <c r="B77" s="87">
        <v>0.1</v>
      </c>
    </row>
    <row r="78" spans="1:2" s="4" customFormat="1" ht="12.75">
      <c r="A78" s="4" t="s">
        <v>425</v>
      </c>
      <c r="B78" s="87">
        <f>'Valuation Model'!D20</f>
        <v>0.062</v>
      </c>
    </row>
    <row r="79" spans="1:2" s="4" customFormat="1" ht="12.75">
      <c r="A79" s="4" t="s">
        <v>142</v>
      </c>
      <c r="B79" s="87">
        <f>B14</f>
        <v>0.35</v>
      </c>
    </row>
    <row r="80" spans="1:2" s="8" customFormat="1" ht="12" customHeight="1">
      <c r="A80" s="8" t="s">
        <v>241</v>
      </c>
      <c r="B80" s="19"/>
    </row>
    <row r="81" spans="1:2" s="4" customFormat="1" ht="12" customHeight="1">
      <c r="A81" s="4" t="s">
        <v>317</v>
      </c>
      <c r="B81" s="95" t="s">
        <v>380</v>
      </c>
    </row>
    <row r="82" spans="1:2" s="4" customFormat="1" ht="12" customHeight="1">
      <c r="A82" s="4" t="s">
        <v>413</v>
      </c>
      <c r="B82" s="87">
        <v>0.1652</v>
      </c>
    </row>
    <row r="83" spans="1:3" s="4" customFormat="1" ht="12" customHeight="1">
      <c r="A83" s="4" t="s">
        <v>144</v>
      </c>
      <c r="B83" s="90">
        <v>1.2</v>
      </c>
      <c r="C83" s="9" t="s">
        <v>303</v>
      </c>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G21"/>
  <sheetViews>
    <sheetView workbookViewId="0" topLeftCell="A1">
      <selection activeCell="G19" sqref="G19"/>
    </sheetView>
  </sheetViews>
  <sheetFormatPr defaultColWidth="11.00390625" defaultRowHeight="12.75"/>
  <cols>
    <col min="5" max="5" width="10.75390625" style="57" customWidth="1"/>
  </cols>
  <sheetData>
    <row r="1" spans="1:5" s="26" customFormat="1" ht="18">
      <c r="A1" s="26" t="s">
        <v>310</v>
      </c>
      <c r="D1" s="56"/>
      <c r="E1" s="56"/>
    </row>
    <row r="2" spans="1:5" s="4" customFormat="1" ht="12.75">
      <c r="A2" s="4" t="s">
        <v>148</v>
      </c>
      <c r="D2" s="85">
        <v>3</v>
      </c>
      <c r="E2" s="9"/>
    </row>
    <row r="3" s="4" customFormat="1" ht="12.75">
      <c r="E3" s="9"/>
    </row>
    <row r="4" spans="1:5" s="7" customFormat="1" ht="12.75">
      <c r="A4" s="7" t="s">
        <v>122</v>
      </c>
      <c r="E4" s="17"/>
    </row>
    <row r="5" spans="1:4" s="4" customFormat="1" ht="12.75">
      <c r="A5" s="4" t="s">
        <v>132</v>
      </c>
      <c r="D5" s="85">
        <v>3500</v>
      </c>
    </row>
    <row r="6" s="4" customFormat="1" ht="12.75">
      <c r="D6" s="9"/>
    </row>
    <row r="7" spans="1:4" s="7" customFormat="1" ht="12.75">
      <c r="A7" s="7" t="s">
        <v>201</v>
      </c>
      <c r="D7" s="17"/>
    </row>
    <row r="8" spans="1:4" s="4" customFormat="1" ht="12.75">
      <c r="A8" s="4" t="s">
        <v>326</v>
      </c>
      <c r="D8" s="90">
        <v>0.22</v>
      </c>
    </row>
    <row r="9" s="4" customFormat="1" ht="12.75">
      <c r="D9" s="9"/>
    </row>
    <row r="10" spans="1:4" s="7" customFormat="1" ht="12.75">
      <c r="A10" s="7" t="s">
        <v>327</v>
      </c>
      <c r="D10" s="17"/>
    </row>
    <row r="11" spans="1:5" s="4" customFormat="1" ht="12.75">
      <c r="A11" s="4" t="s">
        <v>283</v>
      </c>
      <c r="D11" s="87">
        <f>G21</f>
        <v>0.14716703458425312</v>
      </c>
      <c r="E11" s="4" t="s">
        <v>284</v>
      </c>
    </row>
    <row r="12" s="4" customFormat="1" ht="12.75">
      <c r="E12" s="9"/>
    </row>
    <row r="13" ht="12.75"/>
    <row r="14" spans="1:5" s="4" customFormat="1" ht="12.75">
      <c r="A14" s="4" t="s">
        <v>130</v>
      </c>
      <c r="D14" s="91">
        <f>IF(D2=1,D5,(IF(D2=2,D8*('Master Inputs Start here'!B18+'Master Inputs Start here'!B19),'Earnings Normalizer'!D11*'Master Inputs Start here'!B15)))</f>
        <v>1788.6681383370124</v>
      </c>
      <c r="E14" s="9"/>
    </row>
    <row r="15" ht="12.75"/>
    <row r="16" ht="12.75"/>
    <row r="17" spans="1:5" s="8" customFormat="1" ht="12.75">
      <c r="A17" s="8" t="s">
        <v>153</v>
      </c>
      <c r="E17" s="19"/>
    </row>
    <row r="18" spans="1:7" s="9" customFormat="1" ht="12.75">
      <c r="A18" s="13"/>
      <c r="B18" s="13">
        <v>-5</v>
      </c>
      <c r="C18" s="13">
        <v>-4</v>
      </c>
      <c r="D18" s="13">
        <v>-3</v>
      </c>
      <c r="E18" s="13">
        <v>-2</v>
      </c>
      <c r="F18" s="13">
        <v>-1</v>
      </c>
      <c r="G18" s="13" t="s">
        <v>140</v>
      </c>
    </row>
    <row r="19" spans="1:7" s="4" customFormat="1" ht="12">
      <c r="A19" s="12" t="s">
        <v>187</v>
      </c>
      <c r="B19" s="84">
        <v>2032</v>
      </c>
      <c r="C19" s="84">
        <v>2376</v>
      </c>
      <c r="D19" s="84">
        <v>2779</v>
      </c>
      <c r="E19" s="85">
        <v>3155</v>
      </c>
      <c r="F19" s="84">
        <v>3248</v>
      </c>
      <c r="G19" s="12">
        <f>SUM(B19:F19)</f>
        <v>13590</v>
      </c>
    </row>
    <row r="20" spans="1:7" s="4" customFormat="1" ht="12">
      <c r="A20" s="12" t="s">
        <v>254</v>
      </c>
      <c r="B20" s="84">
        <v>186</v>
      </c>
      <c r="C20" s="84">
        <v>454</v>
      </c>
      <c r="D20" s="84">
        <v>529</v>
      </c>
      <c r="E20" s="85">
        <v>448</v>
      </c>
      <c r="F20" s="84">
        <v>383</v>
      </c>
      <c r="G20" s="12">
        <f>SUM(B20:F20)</f>
        <v>2000</v>
      </c>
    </row>
    <row r="21" spans="1:7" s="4" customFormat="1" ht="12">
      <c r="A21" s="12" t="s">
        <v>255</v>
      </c>
      <c r="B21" s="105">
        <f aca="true" t="shared" si="0" ref="B21:G21">B20/B19</f>
        <v>0.09153543307086615</v>
      </c>
      <c r="C21" s="105">
        <f t="shared" si="0"/>
        <v>0.19107744107744107</v>
      </c>
      <c r="D21" s="105">
        <f t="shared" si="0"/>
        <v>0.19035624325296868</v>
      </c>
      <c r="E21" s="105">
        <f t="shared" si="0"/>
        <v>0.14199683042789224</v>
      </c>
      <c r="F21" s="105">
        <f t="shared" si="0"/>
        <v>0.11791871921182266</v>
      </c>
      <c r="G21" s="41">
        <f t="shared" si="0"/>
        <v>0.14716703458425312</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J142"/>
  <sheetViews>
    <sheetView workbookViewId="0" topLeftCell="A1">
      <selection activeCell="E31" sqref="E31"/>
    </sheetView>
  </sheetViews>
  <sheetFormatPr defaultColWidth="11.00390625" defaultRowHeight="12.75"/>
  <sheetData>
    <row r="1" spans="1:10" s="26" customFormat="1" ht="18">
      <c r="A1" s="21" t="s">
        <v>236</v>
      </c>
      <c r="B1" s="21"/>
      <c r="C1" s="21"/>
      <c r="D1" s="21"/>
      <c r="E1" s="21"/>
      <c r="F1" s="21"/>
      <c r="G1" s="21"/>
      <c r="H1" s="21"/>
      <c r="I1" s="21"/>
      <c r="J1" s="21"/>
    </row>
    <row r="2" s="4" customFormat="1" ht="12.75">
      <c r="A2" s="4" t="s">
        <v>209</v>
      </c>
    </row>
    <row r="3" s="4" customFormat="1" ht="12.75">
      <c r="A3" s="4" t="s">
        <v>281</v>
      </c>
    </row>
    <row r="4" s="4" customFormat="1" ht="12.75"/>
    <row r="5" s="4" customFormat="1" ht="12.75">
      <c r="A5" s="7" t="s">
        <v>85</v>
      </c>
    </row>
    <row r="6" spans="1:7" s="4" customFormat="1" ht="12.75">
      <c r="A6" s="4" t="s">
        <v>78</v>
      </c>
      <c r="F6" s="85">
        <v>5</v>
      </c>
      <c r="G6" s="4" t="s">
        <v>79</v>
      </c>
    </row>
    <row r="7" spans="1:7" s="4" customFormat="1" ht="12.75">
      <c r="A7" s="4" t="s">
        <v>402</v>
      </c>
      <c r="F7" s="91">
        <v>1594</v>
      </c>
      <c r="G7" s="4" t="s">
        <v>182</v>
      </c>
    </row>
    <row r="8" s="4" customFormat="1" ht="12.75">
      <c r="A8" s="4" t="s">
        <v>240</v>
      </c>
    </row>
    <row r="9" s="4" customFormat="1" ht="12.75">
      <c r="A9" s="4" t="s">
        <v>359</v>
      </c>
    </row>
    <row r="10" spans="1:9" s="25" customFormat="1" ht="12.75">
      <c r="A10" s="48" t="s">
        <v>337</v>
      </c>
      <c r="B10" s="48" t="s">
        <v>301</v>
      </c>
      <c r="C10" s="49"/>
      <c r="D10" s="49"/>
      <c r="E10" s="49"/>
      <c r="F10" s="49"/>
      <c r="G10" s="49"/>
      <c r="H10" s="49"/>
      <c r="I10" s="49"/>
    </row>
    <row r="11" spans="1:9" s="25" customFormat="1" ht="12.75">
      <c r="A11" s="50">
        <v>-1</v>
      </c>
      <c r="B11" s="92">
        <v>1026</v>
      </c>
      <c r="C11" s="49" t="s">
        <v>403</v>
      </c>
      <c r="D11" s="49"/>
      <c r="E11" s="49"/>
      <c r="F11" s="49"/>
      <c r="G11" s="49"/>
      <c r="H11" s="49"/>
      <c r="I11" s="49"/>
    </row>
    <row r="12" spans="1:9" s="25" customFormat="1" ht="12.75">
      <c r="A12" s="50">
        <f>IF((0-A11)&lt;$F$6,IF(A11&gt;-1,,A11-1),)</f>
        <v>-2</v>
      </c>
      <c r="B12" s="92">
        <v>698</v>
      </c>
      <c r="C12" s="49" t="s">
        <v>404</v>
      </c>
      <c r="D12" s="49"/>
      <c r="E12" s="49"/>
      <c r="F12" s="49"/>
      <c r="G12" s="49"/>
      <c r="H12" s="49"/>
      <c r="I12" s="49"/>
    </row>
    <row r="13" spans="1:9" s="25" customFormat="1" ht="12.75">
      <c r="A13" s="50">
        <f aca="true" t="shared" si="0" ref="A13:A20">IF((0-A12)&lt;$F$6,IF(A12&gt;-1,,A12-1),)</f>
        <v>-3</v>
      </c>
      <c r="B13" s="92">
        <v>399</v>
      </c>
      <c r="C13" s="49"/>
      <c r="D13" s="49"/>
      <c r="E13" s="49"/>
      <c r="F13" s="49"/>
      <c r="G13" s="49"/>
      <c r="H13" s="49"/>
      <c r="I13" s="49"/>
    </row>
    <row r="14" spans="1:9" s="25" customFormat="1" ht="12.75">
      <c r="A14" s="50">
        <f t="shared" si="0"/>
        <v>-4</v>
      </c>
      <c r="B14" s="92">
        <v>211</v>
      </c>
      <c r="C14" s="49"/>
      <c r="D14" s="49"/>
      <c r="E14" s="49"/>
      <c r="F14" s="49"/>
      <c r="G14" s="49"/>
      <c r="H14" s="49"/>
      <c r="I14" s="49"/>
    </row>
    <row r="15" spans="1:9" s="25" customFormat="1" ht="12.75">
      <c r="A15" s="50">
        <f t="shared" si="0"/>
        <v>-5</v>
      </c>
      <c r="B15" s="92">
        <v>89</v>
      </c>
      <c r="C15" s="49"/>
      <c r="D15" s="49"/>
      <c r="E15" s="49"/>
      <c r="F15" s="49"/>
      <c r="G15" s="49"/>
      <c r="H15" s="49"/>
      <c r="I15" s="49"/>
    </row>
    <row r="16" spans="1:9" s="25" customFormat="1" ht="12.75">
      <c r="A16" s="50">
        <f t="shared" si="0"/>
        <v>0</v>
      </c>
      <c r="B16" s="92"/>
      <c r="C16" s="49"/>
      <c r="D16" s="49"/>
      <c r="E16" s="49"/>
      <c r="F16" s="49"/>
      <c r="G16" s="49"/>
      <c r="H16" s="49"/>
      <c r="I16" s="49"/>
    </row>
    <row r="17" spans="1:9" s="25" customFormat="1" ht="12.75">
      <c r="A17" s="50">
        <f t="shared" si="0"/>
        <v>0</v>
      </c>
      <c r="B17" s="92"/>
      <c r="C17" s="49"/>
      <c r="D17" s="49"/>
      <c r="E17" s="49"/>
      <c r="F17" s="49"/>
      <c r="G17" s="49"/>
      <c r="H17" s="49"/>
      <c r="I17" s="49"/>
    </row>
    <row r="18" spans="1:9" s="25" customFormat="1" ht="12.75">
      <c r="A18" s="50">
        <f t="shared" si="0"/>
        <v>0</v>
      </c>
      <c r="B18" s="92"/>
      <c r="C18" s="49"/>
      <c r="D18" s="49"/>
      <c r="E18" s="49"/>
      <c r="F18" s="49"/>
      <c r="G18" s="49"/>
      <c r="H18" s="49"/>
      <c r="I18" s="49"/>
    </row>
    <row r="19" spans="1:9" s="25" customFormat="1" ht="12.75">
      <c r="A19" s="50">
        <f t="shared" si="0"/>
        <v>0</v>
      </c>
      <c r="B19" s="92"/>
      <c r="C19" s="49"/>
      <c r="D19" s="49"/>
      <c r="E19" s="49"/>
      <c r="F19" s="49"/>
      <c r="G19" s="49"/>
      <c r="H19" s="49"/>
      <c r="I19" s="49"/>
    </row>
    <row r="20" spans="1:9" s="25" customFormat="1" ht="12.75">
      <c r="A20" s="50">
        <f t="shared" si="0"/>
        <v>0</v>
      </c>
      <c r="B20" s="92"/>
      <c r="C20" s="49"/>
      <c r="D20" s="49"/>
      <c r="E20" s="49"/>
      <c r="F20" s="49"/>
      <c r="G20" s="49"/>
      <c r="H20" s="49"/>
      <c r="I20" s="49"/>
    </row>
    <row r="21" spans="1:9" s="25" customFormat="1" ht="12.75">
      <c r="A21" s="49"/>
      <c r="B21" s="49"/>
      <c r="C21" s="49"/>
      <c r="D21" s="49"/>
      <c r="E21" s="49"/>
      <c r="F21" s="49"/>
      <c r="G21" s="49"/>
      <c r="H21" s="49"/>
      <c r="I21" s="49"/>
    </row>
    <row r="22" spans="1:9" s="25" customFormat="1" ht="12.75">
      <c r="A22" s="51" t="s">
        <v>279</v>
      </c>
      <c r="B22" s="49"/>
      <c r="C22" s="49"/>
      <c r="D22" s="49"/>
      <c r="E22" s="49"/>
      <c r="F22" s="49"/>
      <c r="G22" s="49"/>
      <c r="H22" s="49"/>
      <c r="I22" s="49"/>
    </row>
    <row r="23" spans="1:9" s="25" customFormat="1" ht="12.75">
      <c r="A23" s="48" t="s">
        <v>337</v>
      </c>
      <c r="B23" s="48" t="s">
        <v>344</v>
      </c>
      <c r="C23" s="52" t="s">
        <v>289</v>
      </c>
      <c r="D23" s="53"/>
      <c r="E23" s="49" t="s">
        <v>375</v>
      </c>
      <c r="F23" s="49"/>
      <c r="G23" s="49"/>
      <c r="H23" s="49"/>
      <c r="I23" s="49"/>
    </row>
    <row r="24" spans="1:9" s="25" customFormat="1" ht="12.75">
      <c r="A24" s="48" t="s">
        <v>170</v>
      </c>
      <c r="B24" s="48">
        <f>F7</f>
        <v>1594</v>
      </c>
      <c r="C24" s="48">
        <f>1</f>
        <v>1</v>
      </c>
      <c r="D24" s="48">
        <f>B24*C24</f>
        <v>1594</v>
      </c>
      <c r="E24" s="49"/>
      <c r="F24" s="49"/>
      <c r="G24" s="49"/>
      <c r="H24" s="49"/>
      <c r="I24" s="49"/>
    </row>
    <row r="25" spans="1:9" s="25" customFormat="1" ht="12.75">
      <c r="A25" s="50">
        <f>A11</f>
        <v>-1</v>
      </c>
      <c r="B25" s="48">
        <f>B11</f>
        <v>1026</v>
      </c>
      <c r="C25" s="48">
        <f>IF(A25&lt;0,($F$6+A25)/$F$6,0)</f>
        <v>0.8</v>
      </c>
      <c r="D25" s="48">
        <f>B25*C25</f>
        <v>820.8000000000001</v>
      </c>
      <c r="E25" s="124">
        <f aca="true" t="shared" si="1" ref="E25:E34">IF(A25&lt;0,B25/$F$6,0)</f>
        <v>205.2</v>
      </c>
      <c r="F25" s="49"/>
      <c r="G25" s="49"/>
      <c r="H25" s="49"/>
      <c r="I25" s="49"/>
    </row>
    <row r="26" spans="1:9" s="25" customFormat="1" ht="12.75">
      <c r="A26" s="50">
        <f aca="true" t="shared" si="2" ref="A26:B34">A12</f>
        <v>-2</v>
      </c>
      <c r="B26" s="48">
        <f t="shared" si="2"/>
        <v>698</v>
      </c>
      <c r="C26" s="48">
        <f>IF(A26&lt;0,($F$6+A26)/$F$6,0)</f>
        <v>0.6</v>
      </c>
      <c r="D26" s="48">
        <f aca="true" t="shared" si="3" ref="D26:D34">B26*C26</f>
        <v>418.8</v>
      </c>
      <c r="E26" s="124">
        <f t="shared" si="1"/>
        <v>139.6</v>
      </c>
      <c r="F26" s="49"/>
      <c r="G26" s="49"/>
      <c r="H26" s="49"/>
      <c r="I26" s="49"/>
    </row>
    <row r="27" spans="1:9" s="25" customFormat="1" ht="12.75">
      <c r="A27" s="50">
        <f t="shared" si="2"/>
        <v>-3</v>
      </c>
      <c r="B27" s="48">
        <f t="shared" si="2"/>
        <v>399</v>
      </c>
      <c r="C27" s="48">
        <f>IF(A27&lt;0,($F$6+A27)/$F$6,0)</f>
        <v>0.4</v>
      </c>
      <c r="D27" s="48">
        <f t="shared" si="3"/>
        <v>159.60000000000002</v>
      </c>
      <c r="E27" s="124">
        <f t="shared" si="1"/>
        <v>79.8</v>
      </c>
      <c r="F27" s="49"/>
      <c r="G27" s="49"/>
      <c r="H27" s="49"/>
      <c r="I27" s="49"/>
    </row>
    <row r="28" spans="1:9" s="25" customFormat="1" ht="12.75">
      <c r="A28" s="50">
        <f t="shared" si="2"/>
        <v>-4</v>
      </c>
      <c r="B28" s="48">
        <f t="shared" si="2"/>
        <v>211</v>
      </c>
      <c r="C28" s="48">
        <f aca="true" t="shared" si="4" ref="C28:C34">IF(A28&lt;0,($F$6+A28)/$F$6,0)</f>
        <v>0.2</v>
      </c>
      <c r="D28" s="48">
        <f t="shared" si="3"/>
        <v>42.2</v>
      </c>
      <c r="E28" s="124">
        <f t="shared" si="1"/>
        <v>42.2</v>
      </c>
      <c r="F28" s="49"/>
      <c r="G28" s="49"/>
      <c r="H28" s="49"/>
      <c r="I28" s="49"/>
    </row>
    <row r="29" spans="1:9" s="25" customFormat="1" ht="12.75">
      <c r="A29" s="50">
        <f t="shared" si="2"/>
        <v>-5</v>
      </c>
      <c r="B29" s="48">
        <f t="shared" si="2"/>
        <v>89</v>
      </c>
      <c r="C29" s="48">
        <f t="shared" si="4"/>
        <v>0</v>
      </c>
      <c r="D29" s="48">
        <f t="shared" si="3"/>
        <v>0</v>
      </c>
      <c r="E29" s="124">
        <f t="shared" si="1"/>
        <v>17.8</v>
      </c>
      <c r="F29" s="49"/>
      <c r="G29" s="49"/>
      <c r="H29" s="49"/>
      <c r="I29" s="49"/>
    </row>
    <row r="30" spans="1:9" s="25" customFormat="1" ht="12.75">
      <c r="A30" s="50">
        <f t="shared" si="2"/>
        <v>0</v>
      </c>
      <c r="B30" s="48">
        <f t="shared" si="2"/>
        <v>0</v>
      </c>
      <c r="C30" s="48">
        <f t="shared" si="4"/>
        <v>0</v>
      </c>
      <c r="D30" s="48">
        <f t="shared" si="3"/>
        <v>0</v>
      </c>
      <c r="E30" s="124">
        <f t="shared" si="1"/>
        <v>0</v>
      </c>
      <c r="F30" s="49"/>
      <c r="G30" s="49"/>
      <c r="H30" s="49"/>
      <c r="I30" s="49"/>
    </row>
    <row r="31" spans="1:9" s="25" customFormat="1" ht="12.75">
      <c r="A31" s="50">
        <f t="shared" si="2"/>
        <v>0</v>
      </c>
      <c r="B31" s="48">
        <f t="shared" si="2"/>
        <v>0</v>
      </c>
      <c r="C31" s="48">
        <f t="shared" si="4"/>
        <v>0</v>
      </c>
      <c r="D31" s="48">
        <f t="shared" si="3"/>
        <v>0</v>
      </c>
      <c r="E31" s="124">
        <f t="shared" si="1"/>
        <v>0</v>
      </c>
      <c r="F31" s="49"/>
      <c r="G31" s="49"/>
      <c r="H31" s="49"/>
      <c r="I31" s="49"/>
    </row>
    <row r="32" spans="1:9" s="25" customFormat="1" ht="12.75">
      <c r="A32" s="50">
        <f t="shared" si="2"/>
        <v>0</v>
      </c>
      <c r="B32" s="48">
        <f t="shared" si="2"/>
        <v>0</v>
      </c>
      <c r="C32" s="48">
        <f t="shared" si="4"/>
        <v>0</v>
      </c>
      <c r="D32" s="48">
        <f t="shared" si="3"/>
        <v>0</v>
      </c>
      <c r="E32" s="124">
        <f t="shared" si="1"/>
        <v>0</v>
      </c>
      <c r="F32" s="49"/>
      <c r="G32" s="49"/>
      <c r="H32" s="49"/>
      <c r="I32" s="49"/>
    </row>
    <row r="33" spans="1:9" s="25" customFormat="1" ht="12.75">
      <c r="A33" s="50">
        <f t="shared" si="2"/>
        <v>0</v>
      </c>
      <c r="B33" s="48">
        <f t="shared" si="2"/>
        <v>0</v>
      </c>
      <c r="C33" s="48">
        <f t="shared" si="4"/>
        <v>0</v>
      </c>
      <c r="D33" s="48">
        <f t="shared" si="3"/>
        <v>0</v>
      </c>
      <c r="E33" s="124">
        <f t="shared" si="1"/>
        <v>0</v>
      </c>
      <c r="F33" s="49"/>
      <c r="G33" s="49"/>
      <c r="H33" s="49"/>
      <c r="I33" s="49"/>
    </row>
    <row r="34" spans="1:9" s="25" customFormat="1" ht="15.75" customHeight="1" thickBot="1">
      <c r="A34" s="50">
        <f t="shared" si="2"/>
        <v>0</v>
      </c>
      <c r="B34" s="48">
        <f t="shared" si="2"/>
        <v>0</v>
      </c>
      <c r="C34" s="48">
        <f t="shared" si="4"/>
        <v>0</v>
      </c>
      <c r="D34" s="54">
        <f t="shared" si="3"/>
        <v>0</v>
      </c>
      <c r="E34" s="125">
        <f t="shared" si="1"/>
        <v>0</v>
      </c>
      <c r="F34" s="49"/>
      <c r="G34" s="49"/>
      <c r="H34" s="49"/>
      <c r="I34" s="49"/>
    </row>
    <row r="35" spans="1:5" s="4" customFormat="1" ht="13.5" thickBot="1">
      <c r="A35" s="4" t="s">
        <v>95</v>
      </c>
      <c r="D35" s="47">
        <f>SUM(D24:D34)</f>
        <v>3035.4</v>
      </c>
      <c r="E35" s="122">
        <f>SUM(E25:E34)</f>
        <v>484.59999999999997</v>
      </c>
    </row>
    <row r="36" ht="13.5" thickBot="1"/>
    <row r="37" spans="1:4" s="4" customFormat="1" ht="13.5" thickBot="1">
      <c r="A37" s="4" t="s">
        <v>99</v>
      </c>
      <c r="D37" s="47">
        <f>E35</f>
        <v>484.59999999999997</v>
      </c>
    </row>
    <row r="38" s="4" customFormat="1" ht="13.5" thickBot="1"/>
    <row r="39" spans="1:5" s="4" customFormat="1" ht="12.75">
      <c r="A39" s="4" t="s">
        <v>393</v>
      </c>
      <c r="D39" s="65">
        <f>F7-D37</f>
        <v>1109.4</v>
      </c>
      <c r="E39" s="4" t="s">
        <v>358</v>
      </c>
    </row>
    <row r="40" spans="1:5" ht="12.75">
      <c r="A40" t="s">
        <v>354</v>
      </c>
      <c r="D40" s="66">
        <f>(F7-D37)*'Master Inputs Start here'!B14</f>
        <v>388.29</v>
      </c>
      <c r="E40" s="4"/>
    </row>
    <row r="43" s="46" customFormat="1" ht="12">
      <c r="A43" s="46" t="s">
        <v>253</v>
      </c>
    </row>
    <row r="44" spans="1:2" s="4" customFormat="1" ht="12.75">
      <c r="A44" s="8" t="s">
        <v>1</v>
      </c>
      <c r="B44" s="8" t="s">
        <v>277</v>
      </c>
    </row>
    <row r="45" spans="1:2" s="4" customFormat="1" ht="12">
      <c r="A45" s="4" t="s">
        <v>2</v>
      </c>
      <c r="B45" s="4">
        <v>2</v>
      </c>
    </row>
    <row r="46" spans="1:6" s="4" customFormat="1" ht="12">
      <c r="A46" s="4" t="s">
        <v>341</v>
      </c>
      <c r="B46" s="4">
        <v>10</v>
      </c>
      <c r="D46" s="4" t="s">
        <v>127</v>
      </c>
      <c r="F46" s="4" t="s">
        <v>329</v>
      </c>
    </row>
    <row r="47" spans="1:6" s="4" customFormat="1" ht="12">
      <c r="A47" s="4" t="s">
        <v>206</v>
      </c>
      <c r="B47" s="4">
        <v>10</v>
      </c>
      <c r="D47" s="4" t="s">
        <v>330</v>
      </c>
      <c r="F47" s="4" t="s">
        <v>135</v>
      </c>
    </row>
    <row r="48" spans="1:6" s="4" customFormat="1" ht="12">
      <c r="A48" s="4" t="s">
        <v>207</v>
      </c>
      <c r="B48" s="4">
        <v>5</v>
      </c>
      <c r="D48" s="4" t="s">
        <v>179</v>
      </c>
      <c r="F48" s="4" t="s">
        <v>180</v>
      </c>
    </row>
    <row r="49" spans="1:6" s="4" customFormat="1" ht="12">
      <c r="A49" s="4" t="s">
        <v>208</v>
      </c>
      <c r="B49" s="4">
        <v>3</v>
      </c>
      <c r="D49" s="4" t="s">
        <v>309</v>
      </c>
      <c r="F49" s="4" t="s">
        <v>350</v>
      </c>
    </row>
    <row r="50" spans="1:6" s="4" customFormat="1" ht="12">
      <c r="A50" s="4" t="s">
        <v>268</v>
      </c>
      <c r="B50" s="4">
        <v>10</v>
      </c>
      <c r="D50" s="4" t="s">
        <v>224</v>
      </c>
      <c r="F50" s="4" t="s">
        <v>350</v>
      </c>
    </row>
    <row r="51" spans="1:6" s="4" customFormat="1" ht="12">
      <c r="A51" s="4" t="s">
        <v>237</v>
      </c>
      <c r="B51" s="4">
        <v>5</v>
      </c>
      <c r="D51" s="4" t="s">
        <v>225</v>
      </c>
      <c r="F51" s="4" t="s">
        <v>350</v>
      </c>
    </row>
    <row r="52" spans="1:2" s="4" customFormat="1" ht="12">
      <c r="A52" s="4" t="s">
        <v>37</v>
      </c>
      <c r="B52" s="4">
        <v>5</v>
      </c>
    </row>
    <row r="53" spans="1:2" s="4" customFormat="1" ht="12">
      <c r="A53" s="4" t="s">
        <v>38</v>
      </c>
      <c r="B53" s="4">
        <v>2</v>
      </c>
    </row>
    <row r="54" spans="1:2" s="4" customFormat="1" ht="12">
      <c r="A54" s="4" t="s">
        <v>39</v>
      </c>
      <c r="B54" s="4">
        <v>2</v>
      </c>
    </row>
    <row r="55" spans="1:2" s="4" customFormat="1" ht="12">
      <c r="A55" s="4" t="s">
        <v>363</v>
      </c>
      <c r="B55" s="4">
        <v>2</v>
      </c>
    </row>
    <row r="56" spans="1:2" s="4" customFormat="1" ht="12">
      <c r="A56" s="4" t="s">
        <v>364</v>
      </c>
      <c r="B56" s="4">
        <v>2</v>
      </c>
    </row>
    <row r="57" spans="1:2" s="4" customFormat="1" ht="12">
      <c r="A57" s="4" t="s">
        <v>384</v>
      </c>
      <c r="B57" s="4">
        <v>3</v>
      </c>
    </row>
    <row r="58" spans="1:2" s="4" customFormat="1" ht="12">
      <c r="A58" s="4" t="s">
        <v>238</v>
      </c>
      <c r="B58" s="4">
        <v>3</v>
      </c>
    </row>
    <row r="59" spans="1:2" s="4" customFormat="1" ht="12">
      <c r="A59" s="4" t="s">
        <v>239</v>
      </c>
      <c r="B59" s="4">
        <v>5</v>
      </c>
    </row>
    <row r="60" spans="1:2" s="4" customFormat="1" ht="12">
      <c r="A60" s="4" t="s">
        <v>365</v>
      </c>
      <c r="B60" s="4">
        <v>10</v>
      </c>
    </row>
    <row r="61" spans="1:2" s="4" customFormat="1" ht="12">
      <c r="A61" s="4" t="s">
        <v>366</v>
      </c>
      <c r="B61" s="4">
        <v>10</v>
      </c>
    </row>
    <row r="62" spans="1:2" s="4" customFormat="1" ht="12">
      <c r="A62" s="4" t="s">
        <v>367</v>
      </c>
      <c r="B62" s="4">
        <v>10</v>
      </c>
    </row>
    <row r="63" spans="1:2" s="4" customFormat="1" ht="12">
      <c r="A63" s="4" t="s">
        <v>361</v>
      </c>
      <c r="B63" s="4">
        <v>10</v>
      </c>
    </row>
    <row r="64" spans="1:2" s="4" customFormat="1" ht="12">
      <c r="A64" s="4" t="s">
        <v>362</v>
      </c>
      <c r="B64" s="4">
        <v>10</v>
      </c>
    </row>
    <row r="65" spans="1:2" s="4" customFormat="1" ht="12">
      <c r="A65" s="4" t="s">
        <v>5</v>
      </c>
      <c r="B65" s="4">
        <v>10</v>
      </c>
    </row>
    <row r="66" spans="1:2" s="4" customFormat="1" ht="12">
      <c r="A66" s="4" t="s">
        <v>6</v>
      </c>
      <c r="B66" s="4">
        <v>5</v>
      </c>
    </row>
    <row r="67" spans="1:2" s="4" customFormat="1" ht="12">
      <c r="A67" s="4" t="s">
        <v>7</v>
      </c>
      <c r="B67" s="4">
        <v>5</v>
      </c>
    </row>
    <row r="68" spans="1:2" s="4" customFormat="1" ht="12">
      <c r="A68" s="4" t="s">
        <v>8</v>
      </c>
      <c r="B68" s="4">
        <v>3</v>
      </c>
    </row>
    <row r="69" spans="1:2" s="4" customFormat="1" ht="12">
      <c r="A69" s="4" t="s">
        <v>9</v>
      </c>
      <c r="B69" s="4">
        <v>5</v>
      </c>
    </row>
    <row r="70" spans="1:2" s="4" customFormat="1" ht="12">
      <c r="A70" s="4" t="s">
        <v>50</v>
      </c>
      <c r="B70" s="4">
        <v>5</v>
      </c>
    </row>
    <row r="71" spans="1:2" s="4" customFormat="1" ht="12">
      <c r="A71" s="4" t="s">
        <v>51</v>
      </c>
      <c r="B71" s="4">
        <v>10</v>
      </c>
    </row>
    <row r="72" spans="1:2" s="4" customFormat="1" ht="12">
      <c r="A72" s="4" t="s">
        <v>52</v>
      </c>
      <c r="B72" s="4">
        <v>3</v>
      </c>
    </row>
    <row r="73" spans="1:2" s="4" customFormat="1" ht="12">
      <c r="A73" s="4" t="s">
        <v>53</v>
      </c>
      <c r="B73" s="4">
        <v>3</v>
      </c>
    </row>
    <row r="74" spans="1:2" s="4" customFormat="1" ht="12">
      <c r="A74" s="4" t="s">
        <v>244</v>
      </c>
      <c r="B74" s="4">
        <v>10</v>
      </c>
    </row>
    <row r="75" spans="1:2" s="4" customFormat="1" ht="12">
      <c r="A75" s="4" t="s">
        <v>101</v>
      </c>
      <c r="B75" s="4">
        <v>10</v>
      </c>
    </row>
    <row r="76" spans="1:2" s="4" customFormat="1" ht="12">
      <c r="A76" s="4" t="s">
        <v>102</v>
      </c>
      <c r="B76" s="4">
        <v>10</v>
      </c>
    </row>
    <row r="77" spans="1:2" s="4" customFormat="1" ht="12">
      <c r="A77" s="4" t="s">
        <v>32</v>
      </c>
      <c r="B77" s="4">
        <v>10</v>
      </c>
    </row>
    <row r="78" spans="1:2" s="4" customFormat="1" ht="12">
      <c r="A78" s="4" t="s">
        <v>205</v>
      </c>
      <c r="B78" s="4">
        <v>5</v>
      </c>
    </row>
    <row r="79" spans="1:2" s="4" customFormat="1" ht="12">
      <c r="A79" s="4" t="s">
        <v>355</v>
      </c>
      <c r="B79" s="4">
        <v>3</v>
      </c>
    </row>
    <row r="80" spans="1:2" s="4" customFormat="1" ht="12">
      <c r="A80" s="4" t="s">
        <v>356</v>
      </c>
      <c r="B80" s="4">
        <v>5</v>
      </c>
    </row>
    <row r="81" spans="1:2" s="4" customFormat="1" ht="12">
      <c r="A81" s="4" t="s">
        <v>129</v>
      </c>
      <c r="B81" s="4">
        <v>2</v>
      </c>
    </row>
    <row r="82" spans="1:2" s="4" customFormat="1" ht="12">
      <c r="A82" s="4" t="s">
        <v>339</v>
      </c>
      <c r="B82" s="4">
        <v>3</v>
      </c>
    </row>
    <row r="83" spans="1:2" s="4" customFormat="1" ht="12">
      <c r="A83" s="4" t="s">
        <v>340</v>
      </c>
      <c r="B83" s="4">
        <v>3</v>
      </c>
    </row>
    <row r="84" spans="1:2" s="4" customFormat="1" ht="12">
      <c r="A84" s="4" t="s">
        <v>357</v>
      </c>
      <c r="B84" s="4">
        <v>5</v>
      </c>
    </row>
    <row r="85" spans="1:2" s="4" customFormat="1" ht="12">
      <c r="A85" s="4" t="s">
        <v>419</v>
      </c>
      <c r="B85" s="4">
        <v>10</v>
      </c>
    </row>
    <row r="86" spans="1:2" s="4" customFormat="1" ht="12">
      <c r="A86" s="4" t="s">
        <v>420</v>
      </c>
      <c r="B86" s="4">
        <v>3</v>
      </c>
    </row>
    <row r="87" spans="1:2" s="4" customFormat="1" ht="12">
      <c r="A87" s="4" t="s">
        <v>298</v>
      </c>
      <c r="B87" s="4">
        <v>5</v>
      </c>
    </row>
    <row r="88" spans="1:2" s="4" customFormat="1" ht="12">
      <c r="A88" s="4" t="s">
        <v>299</v>
      </c>
      <c r="B88" s="4">
        <v>2</v>
      </c>
    </row>
    <row r="89" spans="1:2" s="4" customFormat="1" ht="12">
      <c r="A89" s="4" t="s">
        <v>300</v>
      </c>
      <c r="B89" s="4">
        <v>3</v>
      </c>
    </row>
    <row r="90" spans="1:2" s="4" customFormat="1" ht="12">
      <c r="A90" s="4" t="s">
        <v>383</v>
      </c>
      <c r="B90" s="4">
        <v>5</v>
      </c>
    </row>
    <row r="91" spans="1:2" s="4" customFormat="1" ht="12">
      <c r="A91" s="4" t="s">
        <v>395</v>
      </c>
      <c r="B91" s="4">
        <v>5</v>
      </c>
    </row>
    <row r="92" spans="1:2" s="4" customFormat="1" ht="12">
      <c r="A92" s="4" t="s">
        <v>396</v>
      </c>
      <c r="B92" s="4">
        <v>3</v>
      </c>
    </row>
    <row r="93" spans="1:2" s="4" customFormat="1" ht="12">
      <c r="A93" s="4" t="s">
        <v>397</v>
      </c>
      <c r="B93" s="4">
        <v>3</v>
      </c>
    </row>
    <row r="94" spans="1:2" s="4" customFormat="1" ht="12">
      <c r="A94" s="4" t="s">
        <v>398</v>
      </c>
      <c r="B94" s="4">
        <v>3</v>
      </c>
    </row>
    <row r="95" spans="1:2" s="4" customFormat="1" ht="12">
      <c r="A95" s="4" t="s">
        <v>165</v>
      </c>
      <c r="B95" s="4">
        <v>3</v>
      </c>
    </row>
    <row r="96" spans="1:2" s="4" customFormat="1" ht="12">
      <c r="A96" s="4" t="s">
        <v>280</v>
      </c>
      <c r="B96" s="4">
        <v>3</v>
      </c>
    </row>
    <row r="97" spans="1:2" s="4" customFormat="1" ht="12">
      <c r="A97" s="4" t="s">
        <v>20</v>
      </c>
      <c r="B97" s="4">
        <v>3</v>
      </c>
    </row>
    <row r="98" spans="1:2" s="4" customFormat="1" ht="12">
      <c r="A98" s="4" t="s">
        <v>21</v>
      </c>
      <c r="B98" s="4">
        <v>3</v>
      </c>
    </row>
    <row r="99" spans="1:2" s="4" customFormat="1" ht="12">
      <c r="A99" s="4" t="s">
        <v>22</v>
      </c>
      <c r="B99" s="4">
        <v>3</v>
      </c>
    </row>
    <row r="100" spans="1:2" s="4" customFormat="1" ht="12">
      <c r="A100" s="4" t="s">
        <v>23</v>
      </c>
      <c r="B100" s="4">
        <v>3</v>
      </c>
    </row>
    <row r="101" spans="1:2" s="4" customFormat="1" ht="12">
      <c r="A101" s="4" t="s">
        <v>24</v>
      </c>
      <c r="B101" s="4">
        <v>3</v>
      </c>
    </row>
    <row r="102" spans="1:2" s="4" customFormat="1" ht="12">
      <c r="A102" s="4" t="s">
        <v>25</v>
      </c>
      <c r="B102" s="4">
        <v>10</v>
      </c>
    </row>
    <row r="103" spans="1:2" s="4" customFormat="1" ht="12">
      <c r="A103" s="4" t="s">
        <v>100</v>
      </c>
      <c r="B103" s="4">
        <v>5</v>
      </c>
    </row>
    <row r="104" spans="1:2" s="4" customFormat="1" ht="12">
      <c r="A104" s="4" t="s">
        <v>347</v>
      </c>
      <c r="B104" s="4">
        <v>10</v>
      </c>
    </row>
    <row r="105" spans="1:2" s="4" customFormat="1" ht="12">
      <c r="A105" s="4" t="s">
        <v>348</v>
      </c>
      <c r="B105" s="4">
        <v>3</v>
      </c>
    </row>
    <row r="106" spans="1:2" s="4" customFormat="1" ht="12">
      <c r="A106" s="4" t="s">
        <v>218</v>
      </c>
      <c r="B106" s="4">
        <v>5</v>
      </c>
    </row>
    <row r="107" spans="1:2" s="4" customFormat="1" ht="12">
      <c r="A107" s="4" t="s">
        <v>90</v>
      </c>
      <c r="B107" s="4">
        <v>10</v>
      </c>
    </row>
    <row r="108" spans="1:2" s="4" customFormat="1" ht="12">
      <c r="A108" s="4" t="s">
        <v>91</v>
      </c>
      <c r="B108" s="4">
        <v>5</v>
      </c>
    </row>
    <row r="109" spans="1:2" s="4" customFormat="1" ht="12">
      <c r="A109" s="4" t="s">
        <v>376</v>
      </c>
      <c r="B109" s="4">
        <v>10</v>
      </c>
    </row>
    <row r="110" spans="1:2" s="4" customFormat="1" ht="12">
      <c r="A110" s="4" t="s">
        <v>257</v>
      </c>
      <c r="B110" s="4">
        <v>10</v>
      </c>
    </row>
    <row r="111" spans="1:2" s="4" customFormat="1" ht="12">
      <c r="A111" s="4" t="s">
        <v>258</v>
      </c>
      <c r="B111" s="4">
        <v>3</v>
      </c>
    </row>
    <row r="112" spans="1:2" s="4" customFormat="1" ht="12">
      <c r="A112" s="4" t="s">
        <v>48</v>
      </c>
      <c r="B112" s="4">
        <v>5</v>
      </c>
    </row>
    <row r="113" spans="1:2" s="4" customFormat="1" ht="12">
      <c r="A113" s="4" t="s">
        <v>49</v>
      </c>
      <c r="B113" s="4">
        <v>5</v>
      </c>
    </row>
    <row r="114" spans="1:2" s="4" customFormat="1" ht="12">
      <c r="A114" s="4" t="s">
        <v>267</v>
      </c>
      <c r="B114" s="4">
        <v>5</v>
      </c>
    </row>
    <row r="115" spans="1:2" s="4" customFormat="1" ht="12">
      <c r="A115" s="4" t="s">
        <v>107</v>
      </c>
      <c r="B115" s="4">
        <v>10</v>
      </c>
    </row>
    <row r="116" spans="1:2" s="4" customFormat="1" ht="12">
      <c r="A116" s="4" t="s">
        <v>108</v>
      </c>
      <c r="B116" s="4">
        <v>5</v>
      </c>
    </row>
    <row r="117" spans="1:2" s="4" customFormat="1" ht="12">
      <c r="A117" s="4" t="s">
        <v>28</v>
      </c>
      <c r="B117" s="4">
        <v>5</v>
      </c>
    </row>
    <row r="118" spans="1:2" s="4" customFormat="1" ht="12">
      <c r="A118" s="4" t="s">
        <v>40</v>
      </c>
      <c r="B118" s="4">
        <v>5</v>
      </c>
    </row>
    <row r="119" spans="1:2" s="4" customFormat="1" ht="12">
      <c r="A119" s="4" t="s">
        <v>41</v>
      </c>
      <c r="B119" s="4">
        <v>3</v>
      </c>
    </row>
    <row r="120" spans="1:2" s="4" customFormat="1" ht="12">
      <c r="A120" s="4" t="s">
        <v>249</v>
      </c>
      <c r="B120" s="4">
        <v>3</v>
      </c>
    </row>
    <row r="121" spans="1:2" s="4" customFormat="1" ht="12">
      <c r="A121" s="4" t="s">
        <v>250</v>
      </c>
      <c r="B121" s="4">
        <v>5</v>
      </c>
    </row>
    <row r="122" spans="1:2" s="4" customFormat="1" ht="12">
      <c r="A122" s="4" t="s">
        <v>251</v>
      </c>
      <c r="B122" s="4">
        <v>5</v>
      </c>
    </row>
    <row r="123" spans="1:2" s="4" customFormat="1" ht="12">
      <c r="A123" s="4" t="s">
        <v>252</v>
      </c>
      <c r="B123" s="4">
        <v>2</v>
      </c>
    </row>
    <row r="124" spans="1:2" s="4" customFormat="1" ht="12">
      <c r="A124" s="4" t="s">
        <v>333</v>
      </c>
      <c r="B124" s="4">
        <v>2</v>
      </c>
    </row>
    <row r="125" spans="1:2" s="4" customFormat="1" ht="12">
      <c r="A125" s="4" t="s">
        <v>334</v>
      </c>
      <c r="B125" s="4">
        <v>2</v>
      </c>
    </row>
    <row r="126" spans="1:2" s="4" customFormat="1" ht="12">
      <c r="A126" s="4" t="s">
        <v>335</v>
      </c>
      <c r="B126" s="4">
        <v>2</v>
      </c>
    </row>
    <row r="127" spans="1:2" s="4" customFormat="1" ht="12">
      <c r="A127" s="4" t="s">
        <v>336</v>
      </c>
      <c r="B127" s="4">
        <v>2</v>
      </c>
    </row>
    <row r="128" spans="1:2" s="4" customFormat="1" ht="12">
      <c r="A128" s="4" t="s">
        <v>259</v>
      </c>
      <c r="B128" s="4">
        <v>5</v>
      </c>
    </row>
    <row r="129" spans="1:2" s="4" customFormat="1" ht="12">
      <c r="A129" s="4" t="s">
        <v>260</v>
      </c>
      <c r="B129" s="4">
        <v>5</v>
      </c>
    </row>
    <row r="130" spans="1:2" s="4" customFormat="1" ht="12">
      <c r="A130" s="4" t="s">
        <v>150</v>
      </c>
      <c r="B130" s="4">
        <v>3</v>
      </c>
    </row>
    <row r="131" spans="1:2" s="4" customFormat="1" ht="12">
      <c r="A131" s="4" t="s">
        <v>151</v>
      </c>
      <c r="B131" s="4">
        <v>5</v>
      </c>
    </row>
    <row r="132" spans="1:2" s="4" customFormat="1" ht="12">
      <c r="A132" s="4" t="s">
        <v>152</v>
      </c>
      <c r="B132" s="4">
        <v>5</v>
      </c>
    </row>
    <row r="133" spans="1:2" s="4" customFormat="1" ht="12">
      <c r="A133" s="4" t="s">
        <v>220</v>
      </c>
      <c r="B133" s="4">
        <v>10</v>
      </c>
    </row>
    <row r="134" spans="1:2" s="4" customFormat="1" ht="12">
      <c r="A134" s="4" t="s">
        <v>212</v>
      </c>
      <c r="B134" s="4">
        <v>5</v>
      </c>
    </row>
    <row r="135" spans="1:2" s="4" customFormat="1" ht="12">
      <c r="A135" s="4" t="s">
        <v>424</v>
      </c>
      <c r="B135" s="4">
        <v>5</v>
      </c>
    </row>
    <row r="136" spans="1:2" s="4" customFormat="1" ht="12">
      <c r="A136" s="4" t="s">
        <v>210</v>
      </c>
      <c r="B136" s="4">
        <v>2</v>
      </c>
    </row>
    <row r="137" spans="1:2" s="4" customFormat="1" ht="12">
      <c r="A137" s="4" t="s">
        <v>346</v>
      </c>
      <c r="B137" s="4">
        <v>5</v>
      </c>
    </row>
    <row r="138" spans="1:2" s="4" customFormat="1" ht="12">
      <c r="A138" s="4" t="s">
        <v>338</v>
      </c>
      <c r="B138" s="4">
        <v>5</v>
      </c>
    </row>
    <row r="139" spans="1:2" s="4" customFormat="1" ht="12">
      <c r="A139" s="4" t="s">
        <v>345</v>
      </c>
      <c r="B139" s="4">
        <v>3</v>
      </c>
    </row>
    <row r="140" spans="1:2" s="4" customFormat="1" ht="12">
      <c r="A140" s="4" t="s">
        <v>69</v>
      </c>
      <c r="B140" s="4">
        <v>5</v>
      </c>
    </row>
    <row r="141" spans="1:2" s="4" customFormat="1" ht="12">
      <c r="A141" s="4" t="s">
        <v>70</v>
      </c>
      <c r="B141" s="4">
        <v>10</v>
      </c>
    </row>
    <row r="142" spans="1:2" s="4" customFormat="1" ht="12">
      <c r="A142" s="4" t="s">
        <v>146</v>
      </c>
      <c r="B142" s="4">
        <v>10</v>
      </c>
    </row>
  </sheetData>
  <conditionalFormatting sqref="B11:B20">
    <cfRule type="cellIs" priority="1" dxfId="0" operator="equal" stopIfTrue="1">
      <formula>0</formula>
    </cfRule>
  </conditionalFormatting>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K35"/>
  <sheetViews>
    <sheetView workbookViewId="0" topLeftCell="A1">
      <selection activeCell="C14" sqref="C14"/>
    </sheetView>
  </sheetViews>
  <sheetFormatPr defaultColWidth="11.00390625" defaultRowHeight="12.75"/>
  <sheetData>
    <row r="1" spans="1:11" s="26" customFormat="1" ht="15">
      <c r="A1" s="21" t="s">
        <v>84</v>
      </c>
      <c r="B1" s="21"/>
      <c r="C1" s="21"/>
      <c r="D1" s="21"/>
      <c r="E1" s="21"/>
      <c r="F1" s="21"/>
      <c r="G1" s="21"/>
      <c r="H1" s="21"/>
      <c r="I1" s="21"/>
      <c r="J1" s="21"/>
      <c r="K1" s="21"/>
    </row>
    <row r="2" s="7" customFormat="1" ht="12">
      <c r="A2" s="7" t="s">
        <v>85</v>
      </c>
    </row>
    <row r="3" spans="1:5" s="4" customFormat="1" ht="12">
      <c r="A3" s="4" t="s">
        <v>379</v>
      </c>
      <c r="E3" s="91">
        <v>121</v>
      </c>
    </row>
    <row r="4" s="8" customFormat="1" ht="12">
      <c r="A4" s="8" t="s">
        <v>261</v>
      </c>
    </row>
    <row r="5" spans="1:3" s="4" customFormat="1" ht="12">
      <c r="A5" s="13" t="s">
        <v>337</v>
      </c>
      <c r="B5" s="13" t="s">
        <v>76</v>
      </c>
      <c r="C5" s="4" t="s">
        <v>77</v>
      </c>
    </row>
    <row r="6" spans="1:2" s="4" customFormat="1" ht="12">
      <c r="A6" s="13">
        <v>1</v>
      </c>
      <c r="B6" s="93">
        <v>156</v>
      </c>
    </row>
    <row r="7" spans="1:2" s="4" customFormat="1" ht="12">
      <c r="A7" s="13">
        <v>2</v>
      </c>
      <c r="B7" s="93">
        <v>143</v>
      </c>
    </row>
    <row r="8" spans="1:2" s="4" customFormat="1" ht="12">
      <c r="A8" s="13">
        <v>3</v>
      </c>
      <c r="B8" s="93">
        <v>122</v>
      </c>
    </row>
    <row r="9" spans="1:2" s="4" customFormat="1" ht="12">
      <c r="A9" s="13">
        <v>4</v>
      </c>
      <c r="B9" s="93">
        <v>109</v>
      </c>
    </row>
    <row r="10" spans="1:2" s="4" customFormat="1" ht="12">
      <c r="A10" s="13">
        <v>5</v>
      </c>
      <c r="B10" s="93">
        <v>97</v>
      </c>
    </row>
    <row r="11" spans="1:2" s="4" customFormat="1" ht="12">
      <c r="A11" s="13" t="s">
        <v>178</v>
      </c>
      <c r="B11" s="93">
        <v>448</v>
      </c>
    </row>
    <row r="12" s="4" customFormat="1" ht="12"/>
    <row r="13" s="55" customFormat="1" ht="13.5" thickBot="1">
      <c r="A13" s="55" t="s">
        <v>279</v>
      </c>
    </row>
    <row r="14" spans="1:4" s="4" customFormat="1" ht="12.75" thickBot="1">
      <c r="A14" s="4" t="s">
        <v>186</v>
      </c>
      <c r="C14" s="70">
        <f>IF('Master Inputs Start here'!B39="Yes",'Ratings estimator'!D10,'Master Inputs Start here'!B42)</f>
        <v>0.062</v>
      </c>
      <c r="D14" s="4" t="s">
        <v>188</v>
      </c>
    </row>
    <row r="15" s="4" customFormat="1" ht="12"/>
    <row r="16" s="8" customFormat="1" ht="12">
      <c r="A16" s="8" t="s">
        <v>189</v>
      </c>
    </row>
    <row r="17" spans="1:5" s="4" customFormat="1" ht="12">
      <c r="A17" s="4" t="s">
        <v>190</v>
      </c>
      <c r="D17" s="71">
        <f>'Master Inputs Start here'!B10</f>
        <v>3455</v>
      </c>
      <c r="E17" s="4" t="s">
        <v>414</v>
      </c>
    </row>
    <row r="18" spans="1:5" s="4" customFormat="1" ht="12">
      <c r="A18" s="4" t="s">
        <v>219</v>
      </c>
      <c r="D18" s="71">
        <f>'Master Inputs Start here'!B29</f>
        <v>0</v>
      </c>
      <c r="E18" s="4" t="s">
        <v>62</v>
      </c>
    </row>
    <row r="19" s="4" customFormat="1" ht="12">
      <c r="D19" s="44"/>
    </row>
    <row r="20" spans="1:5" s="4" customFormat="1" ht="12">
      <c r="A20" s="4" t="s">
        <v>89</v>
      </c>
      <c r="D20" s="72">
        <f>IF(B11&gt;0,INT(B11/AVERAGE(B6:B10)),0)</f>
        <v>3</v>
      </c>
      <c r="E20" s="4" t="s">
        <v>64</v>
      </c>
    </row>
    <row r="21" s="7" customFormat="1" ht="12">
      <c r="E21" s="4" t="s">
        <v>65</v>
      </c>
    </row>
    <row r="22" s="8" customFormat="1" ht="12">
      <c r="A22" s="8" t="s">
        <v>66</v>
      </c>
    </row>
    <row r="23" spans="1:3" s="4" customFormat="1" ht="12">
      <c r="A23" s="13" t="s">
        <v>337</v>
      </c>
      <c r="B23" s="13" t="s">
        <v>76</v>
      </c>
      <c r="C23" s="13" t="s">
        <v>302</v>
      </c>
    </row>
    <row r="24" spans="1:3" s="4" customFormat="1" ht="12">
      <c r="A24" s="12">
        <f>A6</f>
        <v>1</v>
      </c>
      <c r="B24" s="73">
        <f>B6</f>
        <v>156</v>
      </c>
      <c r="C24" s="71">
        <f>B24/(1+$C$14)^A24</f>
        <v>146.89265536723164</v>
      </c>
    </row>
    <row r="25" spans="1:3" s="4" customFormat="1" ht="12">
      <c r="A25" s="12">
        <f aca="true" t="shared" si="0" ref="A25:B28">A7</f>
        <v>2</v>
      </c>
      <c r="B25" s="73">
        <f t="shared" si="0"/>
        <v>143</v>
      </c>
      <c r="C25" s="71">
        <f>B25/(1+$C$14)^A25</f>
        <v>126.79058451346107</v>
      </c>
    </row>
    <row r="26" spans="1:3" s="4" customFormat="1" ht="12">
      <c r="A26" s="12">
        <f t="shared" si="0"/>
        <v>3</v>
      </c>
      <c r="B26" s="73">
        <f t="shared" si="0"/>
        <v>122</v>
      </c>
      <c r="C26" s="71">
        <f>B26/(1+$C$14)^A26</f>
        <v>101.85592107938743</v>
      </c>
    </row>
    <row r="27" spans="1:3" s="4" customFormat="1" ht="12">
      <c r="A27" s="12">
        <f t="shared" si="0"/>
        <v>4</v>
      </c>
      <c r="B27" s="73">
        <f t="shared" si="0"/>
        <v>109</v>
      </c>
      <c r="C27" s="71">
        <f>B27/(1+$C$14)^A27</f>
        <v>85.68966223374726</v>
      </c>
    </row>
    <row r="28" spans="1:3" s="4" customFormat="1" ht="12">
      <c r="A28" s="12">
        <f t="shared" si="0"/>
        <v>5</v>
      </c>
      <c r="B28" s="73">
        <f t="shared" si="0"/>
        <v>97</v>
      </c>
      <c r="C28" s="71">
        <f>B28/(1+$C$14)^A28</f>
        <v>71.80408469974847</v>
      </c>
    </row>
    <row r="29" spans="1:4" s="4" customFormat="1" ht="12.75" thickBot="1">
      <c r="A29" s="45" t="str">
        <f>A11</f>
        <v>6 and beyond</v>
      </c>
      <c r="B29" s="74">
        <f>IF(B11&gt;0,IF(D20&gt;0,B11/D20,B11),0)</f>
        <v>149.33333333333334</v>
      </c>
      <c r="C29" s="75">
        <f>IF(D20&gt;0,(B29*(1-(1+C14)^(-D20))/C14)/(1+$C$14)^5,B29/(1+C14)^5)</f>
        <v>294.3947559330184</v>
      </c>
      <c r="D29" s="4" t="s">
        <v>33</v>
      </c>
    </row>
    <row r="30" spans="1:3" s="4" customFormat="1" ht="12.75" thickBot="1">
      <c r="A30" s="27" t="s">
        <v>34</v>
      </c>
      <c r="B30" s="76"/>
      <c r="C30" s="77">
        <f>SUM(C24:C29)</f>
        <v>827.4276638265942</v>
      </c>
    </row>
    <row r="31" s="4" customFormat="1" ht="12"/>
    <row r="32" s="4" customFormat="1" ht="12">
      <c r="A32" s="8" t="s">
        <v>35</v>
      </c>
    </row>
    <row r="33" spans="1:7" s="4" customFormat="1" ht="12">
      <c r="A33" s="4" t="s">
        <v>234</v>
      </c>
      <c r="F33" s="71">
        <f>C30/(5+D20)</f>
        <v>103.42845797832427</v>
      </c>
      <c r="G33" s="4" t="s">
        <v>235</v>
      </c>
    </row>
    <row r="34" spans="1:7" s="4" customFormat="1" ht="12.75" thickBot="1">
      <c r="A34" s="4" t="s">
        <v>323</v>
      </c>
      <c r="F34" s="78">
        <f>C30*C14</f>
        <v>51.30051515724884</v>
      </c>
      <c r="G34" s="4" t="s">
        <v>331</v>
      </c>
    </row>
    <row r="35" spans="1:6" s="4" customFormat="1" ht="12.75" thickBot="1">
      <c r="A35" s="4" t="s">
        <v>324</v>
      </c>
      <c r="F35" s="79">
        <f>C30</f>
        <v>827.4276638265942</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S68"/>
  <sheetViews>
    <sheetView showGridLines="0" workbookViewId="0" topLeftCell="A48">
      <selection activeCell="F59" sqref="F59"/>
    </sheetView>
  </sheetViews>
  <sheetFormatPr defaultColWidth="11.00390625" defaultRowHeight="12.75"/>
  <cols>
    <col min="1" max="1" width="2.75390625" style="0" customWidth="1"/>
    <col min="2" max="2" width="14.75390625" style="0" customWidth="1"/>
    <col min="3" max="8" width="12.75390625" style="0" customWidth="1"/>
  </cols>
  <sheetData>
    <row r="1" spans="2:10" s="108" customFormat="1" ht="18">
      <c r="B1" s="140" t="s">
        <v>61</v>
      </c>
      <c r="C1" s="140"/>
      <c r="D1" s="140"/>
      <c r="E1" s="140"/>
      <c r="F1" s="140"/>
      <c r="G1" s="140"/>
      <c r="H1" s="140"/>
      <c r="I1" s="140"/>
      <c r="J1" s="140"/>
    </row>
    <row r="2" spans="1:9" s="4" customFormat="1" ht="19.5" customHeight="1">
      <c r="A2" s="5"/>
      <c r="B2" s="20" t="s">
        <v>282</v>
      </c>
      <c r="C2" s="5"/>
      <c r="D2" s="80">
        <f>IF('Master Inputs Start here'!B6="Yes",'Earnings Normalizer'!D14,'Master Inputs Start here'!B10)</f>
        <v>3455</v>
      </c>
      <c r="E2" s="5"/>
      <c r="F2" s="5"/>
      <c r="G2" s="5"/>
      <c r="H2" s="5"/>
      <c r="I2" s="5"/>
    </row>
    <row r="3" spans="2:6" s="4" customFormat="1" ht="19.5" customHeight="1">
      <c r="B3" s="4" t="s">
        <v>285</v>
      </c>
      <c r="D3" s="80">
        <f>IF('Master Inputs Start here'!B4="Yes",(IF('Master Inputs Start here'!B5="Yes",D2+'R&amp;D converter'!D39+'Operating lease converter'!F34,D2+'R&amp;D converter'!D39)),IF('Master Inputs Start here'!B5="Yes",D2+'Operating lease converter'!F34,D2))</f>
        <v>4615.700515157248</v>
      </c>
      <c r="E3"/>
      <c r="F3"/>
    </row>
    <row r="4" spans="2:6" s="4" customFormat="1" ht="19.5" customHeight="1">
      <c r="B4" s="4" t="s">
        <v>360</v>
      </c>
      <c r="D4" s="80">
        <f>IF('Master Inputs Start here'!B5="Yes",'Master Inputs Start here'!B11+'Operating lease converter'!C30*'Operating lease converter'!C14,'Master Inputs Start here'!B11)</f>
        <v>51.30051515724884</v>
      </c>
      <c r="E4"/>
      <c r="F4"/>
    </row>
    <row r="5" spans="2:6" s="4" customFormat="1" ht="19.5" customHeight="1">
      <c r="B5" s="4" t="s">
        <v>128</v>
      </c>
      <c r="D5" s="80">
        <f>IF('Master Inputs Start here'!B4="Yes",(IF('Master Inputs Start here'!B5="Yes",'Master Inputs Start here'!B12+'R&amp;D converter'!F7+'Operating lease converter'!E3,'Master Inputs Start here'!B12+'R&amp;D converter'!F7)),(IF('Master Inputs Start here'!B5="Yes",'Master Inputs Start here'!B12+'Operating lease converter'!E3,'Master Inputs Start here'!B12)))</f>
        <v>4815</v>
      </c>
      <c r="E5"/>
      <c r="F5"/>
    </row>
    <row r="6" spans="2:6" s="4" customFormat="1" ht="19.5" customHeight="1">
      <c r="B6" s="4" t="s">
        <v>290</v>
      </c>
      <c r="D6" s="80">
        <f>IF('Master Inputs Start here'!B4="Yes",(IF('Master Inputs Start here'!B5="Yes",'Master Inputs Start here'!B13+'R&amp;D converter'!D37+'Operating lease converter'!F33,'Master Inputs Start here'!B13+'R&amp;D converter'!D37)),(IF('Master Inputs Start here'!B5="Yes",'Master Inputs Start here'!B13+'Operating lease converter'!F33,'Master Inputs Start here'!B13)))</f>
        <v>1074.0284579783242</v>
      </c>
      <c r="E6"/>
      <c r="F6"/>
    </row>
    <row r="7" spans="2:6" s="4" customFormat="1" ht="19.5" customHeight="1">
      <c r="B7" s="4" t="s">
        <v>177</v>
      </c>
      <c r="D7" s="81">
        <f>'Master Inputs Start here'!B14</f>
        <v>0.35</v>
      </c>
      <c r="E7"/>
      <c r="F7"/>
    </row>
    <row r="8" spans="2:6" s="4" customFormat="1" ht="19.5" customHeight="1">
      <c r="B8" s="4" t="s">
        <v>154</v>
      </c>
      <c r="D8" s="80">
        <f>'Master Inputs Start here'!B15</f>
        <v>12154</v>
      </c>
      <c r="E8"/>
      <c r="F8"/>
    </row>
    <row r="9" spans="2:6" s="4" customFormat="1" ht="19.5" customHeight="1">
      <c r="B9" s="4" t="s">
        <v>155</v>
      </c>
      <c r="D9" s="80">
        <f>'Master Inputs Start here'!B16</f>
        <v>-404</v>
      </c>
      <c r="E9"/>
      <c r="F9"/>
    </row>
    <row r="10" spans="2:6" s="4" customFormat="1" ht="19.5" customHeight="1">
      <c r="B10" s="4" t="s">
        <v>156</v>
      </c>
      <c r="D10" s="80">
        <f>IF('Master Inputs Start here'!B17&lt;0,('Master Inputs Start here'!B15-'Master Inputs Start here'!C15)*('Master Inputs Start here'!B16/'Master Inputs Start here'!B15),'Master Inputs Start here'!B17)</f>
        <v>-121.85815369425704</v>
      </c>
      <c r="E10"/>
      <c r="F10"/>
    </row>
    <row r="11" spans="2:6" s="4" customFormat="1" ht="19.5" customHeight="1">
      <c r="B11" s="4" t="s">
        <v>286</v>
      </c>
      <c r="D11" s="80">
        <f>IF('Master Inputs Start here'!B5="Yes",'Master Inputs Start here'!C18+'Operating lease converter'!F35,'Master Inputs Start here'!C18)</f>
        <v>827.4276638265942</v>
      </c>
      <c r="E11"/>
      <c r="F11"/>
    </row>
    <row r="12" spans="2:6" s="4" customFormat="1" ht="19.5" customHeight="1">
      <c r="B12" s="4" t="s">
        <v>418</v>
      </c>
      <c r="D12" s="80">
        <f>IF('Master Inputs Start here'!B4="Yes",'Master Inputs Start here'!C19+'R&amp;D converter'!D35-'R&amp;D converter'!D24+'R&amp;D converter'!E35,'Master Inputs Start here'!C19)</f>
        <v>9117</v>
      </c>
      <c r="E12"/>
      <c r="F12"/>
    </row>
    <row r="13" spans="4:5" s="4" customFormat="1" ht="19.5" customHeight="1">
      <c r="D13" s="10"/>
      <c r="E13" s="9"/>
    </row>
    <row r="14" spans="2:5" s="6" customFormat="1" ht="19.5" customHeight="1">
      <c r="B14" s="4" t="s">
        <v>137</v>
      </c>
      <c r="D14" s="72">
        <f>'Master Inputs Start here'!B54</f>
        <v>12</v>
      </c>
      <c r="E14" s="72" t="s">
        <v>138</v>
      </c>
    </row>
    <row r="15" spans="2:5" s="6" customFormat="1" ht="19.5" customHeight="1">
      <c r="B15" s="4" t="s">
        <v>143</v>
      </c>
      <c r="D15" s="102">
        <f>IF('Master Inputs Start here'!B62="Yes",'Valuation Model'!D22*'Valuation Model'!D23,'Master Inputs Start here'!B63)</f>
        <v>0.36393380400283304</v>
      </c>
      <c r="E15" s="96">
        <f>'Master Inputs Start here'!B74</f>
        <v>0.05</v>
      </c>
    </row>
    <row r="16" spans="2:5" s="4" customFormat="1" ht="19.5" customHeight="1">
      <c r="B16" s="4" t="s">
        <v>288</v>
      </c>
      <c r="D16" s="81">
        <f>IF('Master Inputs Start here'!B56="Yes",'Master Inputs Start here'!B57,'Master Inputs Start here'!B58)</f>
        <v>0.0017904985802238427</v>
      </c>
      <c r="E16" s="96">
        <f>'Master Inputs Start here'!B77</f>
        <v>0.1</v>
      </c>
    </row>
    <row r="17" spans="2:5" s="4" customFormat="1" ht="19.5" customHeight="1">
      <c r="B17" s="4" t="s">
        <v>221</v>
      </c>
      <c r="D17" s="106">
        <f>'Master Inputs Start here'!B55</f>
        <v>1.43</v>
      </c>
      <c r="E17" s="107">
        <f>'Master Inputs Start here'!B75</f>
        <v>1</v>
      </c>
    </row>
    <row r="18" spans="2:5" s="4" customFormat="1" ht="19.5" customHeight="1">
      <c r="B18" s="4" t="s">
        <v>269</v>
      </c>
      <c r="D18" s="81">
        <f>'Master Inputs Start here'!B35</f>
        <v>0.06</v>
      </c>
      <c r="E18" s="96">
        <f>D18</f>
        <v>0.06</v>
      </c>
    </row>
    <row r="19" spans="2:5" s="4" customFormat="1" ht="19.5" customHeight="1">
      <c r="B19" s="4" t="s">
        <v>136</v>
      </c>
      <c r="D19" s="81">
        <f>'Master Inputs Start here'!B36</f>
        <v>0.04</v>
      </c>
      <c r="E19" s="102">
        <f>'Master Inputs Start here'!B76</f>
        <v>0.04</v>
      </c>
    </row>
    <row r="20" spans="2:5" s="4" customFormat="1" ht="19.5" customHeight="1">
      <c r="B20" s="4" t="s">
        <v>139</v>
      </c>
      <c r="D20" s="81">
        <f>IF('Master Inputs Start here'!B39="Yes",'Ratings estimator'!D10,'Master Inputs Start here'!B42)</f>
        <v>0.062</v>
      </c>
      <c r="E20" s="96">
        <f>'Master Inputs Start here'!B78</f>
        <v>0.062</v>
      </c>
    </row>
    <row r="21" spans="2:5" s="4" customFormat="1" ht="19.5" customHeight="1">
      <c r="B21" s="4" t="s">
        <v>141</v>
      </c>
      <c r="D21" s="81">
        <f>'Master Inputs Start here'!B14</f>
        <v>0.35</v>
      </c>
      <c r="E21" s="96">
        <f>'Master Inputs Start here'!B79</f>
        <v>0.35</v>
      </c>
    </row>
    <row r="22" spans="2:5" s="4" customFormat="1" ht="19.5" customHeight="1">
      <c r="B22" s="4" t="s">
        <v>322</v>
      </c>
      <c r="D22" s="81">
        <f>IF('Master Inputs Start here'!B67="Yes",'Master Inputs Start here'!B68,'Master Inputs Start here'!B65)</f>
        <v>0.3407431226211289</v>
      </c>
      <c r="E22" s="96">
        <f>'Master Inputs Start here'!B82</f>
        <v>0.1652</v>
      </c>
    </row>
    <row r="23" spans="2:5" s="4" customFormat="1" ht="19.5" customHeight="1">
      <c r="B23" s="4" t="s">
        <v>73</v>
      </c>
      <c r="D23" s="81">
        <f>IF('Master Inputs Start here'!B67="Yes",'Master Inputs Start here'!B69,'Master Inputs Start here'!B66)</f>
        <v>1.068059132648995</v>
      </c>
      <c r="E23" s="96">
        <f>IF('Master Inputs Start here'!B81="Yes",'Master Inputs Start here'!B74/'Master Inputs Start here'!B82,"Not used")</f>
        <v>0.3026634382566586</v>
      </c>
    </row>
    <row r="24" spans="4:5" s="4" customFormat="1" ht="19.5" customHeight="1">
      <c r="D24" s="10"/>
      <c r="E24" s="9"/>
    </row>
    <row r="25" spans="1:9" s="22" customFormat="1" ht="19.5" customHeight="1">
      <c r="A25" s="1"/>
      <c r="B25" s="21" t="s">
        <v>262</v>
      </c>
      <c r="C25" s="1"/>
      <c r="D25" s="1"/>
      <c r="E25" s="1"/>
      <c r="F25" s="1"/>
      <c r="G25" s="1"/>
      <c r="H25" s="1"/>
      <c r="I25" s="1"/>
    </row>
    <row r="26" spans="2:6" s="4" customFormat="1" ht="19.5" customHeight="1">
      <c r="B26" s="4" t="s">
        <v>263</v>
      </c>
      <c r="D26" s="96">
        <f>D18+D17*D19</f>
        <v>0.1172</v>
      </c>
      <c r="E26" s="9"/>
      <c r="F26" s="9"/>
    </row>
    <row r="27" spans="2:6" s="4" customFormat="1" ht="19.5" customHeight="1">
      <c r="B27" s="4" t="s">
        <v>191</v>
      </c>
      <c r="D27" s="96">
        <f>1-D29</f>
        <v>0.9982095014197762</v>
      </c>
      <c r="E27" s="9"/>
      <c r="F27" s="9"/>
    </row>
    <row r="28" spans="2:6" s="4" customFormat="1" ht="19.5" customHeight="1">
      <c r="B28" s="4" t="s">
        <v>192</v>
      </c>
      <c r="D28" s="96">
        <f>D20*(1-D7)</f>
        <v>0.0403</v>
      </c>
      <c r="E28" s="9"/>
      <c r="F28" s="9"/>
    </row>
    <row r="29" spans="2:6" s="4" customFormat="1" ht="19.5" customHeight="1">
      <c r="B29" s="4" t="s">
        <v>193</v>
      </c>
      <c r="D29" s="115">
        <f>D16</f>
        <v>0.0017904985802238427</v>
      </c>
      <c r="E29" s="9"/>
      <c r="F29" s="9"/>
    </row>
    <row r="30" spans="2:6" s="4" customFormat="1" ht="19.5" customHeight="1">
      <c r="B30" s="4" t="s">
        <v>195</v>
      </c>
      <c r="D30" s="96">
        <f>D26*D27+D28*D29</f>
        <v>0.11706231065918078</v>
      </c>
      <c r="E30" s="9"/>
      <c r="F30" s="9"/>
    </row>
    <row r="31" spans="4:6" s="4" customFormat="1" ht="19.5" customHeight="1">
      <c r="D31" s="18"/>
      <c r="E31" s="9"/>
      <c r="F31" s="9"/>
    </row>
    <row r="32" spans="2:6" s="4" customFormat="1" ht="19.5" customHeight="1">
      <c r="B32" s="8" t="s">
        <v>265</v>
      </c>
      <c r="E32" s="9"/>
      <c r="F32" s="9"/>
    </row>
    <row r="33" spans="2:6" s="8" customFormat="1" ht="19.5" customHeight="1">
      <c r="B33" s="4" t="s">
        <v>407</v>
      </c>
      <c r="D33" s="96">
        <f>IF('Master Inputs Start here'!B62="No",'Master Inputs Start here'!B63,IF('Master Inputs Start here'!B67="No",'Master Inputs Start here'!B65*'Master Inputs Start here'!B66,'Master Inputs Start here'!B68*'Master Inputs Start here'!B69))</f>
        <v>0.36393380400283304</v>
      </c>
      <c r="E33" s="19"/>
      <c r="F33" s="19"/>
    </row>
    <row r="34" spans="2:5" s="4" customFormat="1" ht="19.5" customHeight="1">
      <c r="B34" s="4" t="s">
        <v>370</v>
      </c>
      <c r="D34" s="96">
        <f>IF('Master Inputs Start here'!B59="Yes",'Master Inputs Start here'!B60,'Master Inputs Start here'!B61)</f>
        <v>0.12</v>
      </c>
      <c r="E34" s="9" t="s">
        <v>371</v>
      </c>
    </row>
    <row r="35" spans="2:6" s="4" customFormat="1" ht="19.5" customHeight="1">
      <c r="B35" s="8" t="s">
        <v>266</v>
      </c>
      <c r="E35" s="15"/>
      <c r="F35" s="9"/>
    </row>
    <row r="36" spans="2:19" s="4" customFormat="1" ht="19.5" customHeight="1">
      <c r="B36" s="72"/>
      <c r="C36" s="109" t="s">
        <v>170</v>
      </c>
      <c r="D36" s="72">
        <f>IF(D14=0," ",1)</f>
        <v>1</v>
      </c>
      <c r="E36" s="72">
        <f>IF(D14&lt;2," ",2)</f>
        <v>2</v>
      </c>
      <c r="F36" s="103">
        <f>IF(D14&lt;3," ",3)</f>
        <v>3</v>
      </c>
      <c r="G36" s="72">
        <f>IF(D14&lt;4," ",4)</f>
        <v>4</v>
      </c>
      <c r="H36" s="72">
        <f>IF(D14&lt;5," ",5)</f>
        <v>5</v>
      </c>
      <c r="I36" s="72">
        <f>IF(D14&lt;6," ",6)</f>
        <v>6</v>
      </c>
      <c r="J36" s="72">
        <f>IF(D14&lt;7," ",7)</f>
        <v>7</v>
      </c>
      <c r="K36" s="72">
        <f>IF(D14&lt;8," ",8)</f>
        <v>8</v>
      </c>
      <c r="L36" s="72">
        <f>IF(D14&lt;9," ",9)</f>
        <v>9</v>
      </c>
      <c r="M36" s="72">
        <f>IF(D14&lt;10," ",10)</f>
        <v>10</v>
      </c>
      <c r="N36" s="72">
        <f>IF(D14&lt;11," ",11)</f>
        <v>11</v>
      </c>
      <c r="O36" s="72">
        <f>IF(D14&lt;12," ",12)</f>
        <v>12</v>
      </c>
      <c r="P36" s="72" t="str">
        <f>IF(D14&lt;13," ",13)</f>
        <v> </v>
      </c>
      <c r="Q36" s="72" t="str">
        <f>IF(D14&lt;14," ",14)</f>
        <v> </v>
      </c>
      <c r="R36" s="72" t="str">
        <f>IF(D14&lt;15," ",15)</f>
        <v> </v>
      </c>
      <c r="S36" s="110" t="s">
        <v>292</v>
      </c>
    </row>
    <row r="37" spans="2:19" s="4" customFormat="1" ht="19.5" customHeight="1">
      <c r="B37" s="112" t="s">
        <v>407</v>
      </c>
      <c r="C37" s="109"/>
      <c r="D37" s="102">
        <f>IF($D$14&lt;D36," ",IF('Master Inputs Start here'!$B$71="Yes",IF(D36&lt;'Master Inputs Start here'!$B$54/2,$D$15,$D$48+(($D$15-$D$48)/('Master Inputs Start here'!$B$54/2))*('Master Inputs Start here'!$B$54-'Valuation Model'!D36)),$D$15))</f>
        <v>0.36393380400283304</v>
      </c>
      <c r="E37" s="102">
        <f>IF($D$14&lt;E36," ",IF('Master Inputs Start here'!$B$71="Yes",IF(E36&lt;'Master Inputs Start here'!$B$54/2,$D$15,$D$48+(($D$15-$D$48)/('Master Inputs Start here'!$B$54/2))*('Master Inputs Start here'!$B$54-'Valuation Model'!E36)),$D$15))</f>
        <v>0.36393380400283304</v>
      </c>
      <c r="F37" s="102">
        <f>IF($D$14&lt;F36," ",IF('Master Inputs Start here'!$B$71="Yes",IF(F36&lt;'Master Inputs Start here'!$B$54/2,$D$15,$D$48+(($D$15-$D$48)/('Master Inputs Start here'!$B$54/2))*('Master Inputs Start here'!$B$54-'Valuation Model'!F36)),$D$15))</f>
        <v>0.36393380400283304</v>
      </c>
      <c r="G37" s="102">
        <f>IF($D$14&lt;G36," ",IF('Master Inputs Start here'!$B$71="Yes",IF(G36&lt;'Master Inputs Start here'!$B$54/2,$D$15,$D$48+(($D$15-$D$48)/('Master Inputs Start here'!$B$54/2))*('Master Inputs Start here'!$B$54-'Valuation Model'!G36)),$D$15))</f>
        <v>0.36393380400283304</v>
      </c>
      <c r="H37" s="102">
        <f>IF($D$14&lt;H36," ",IF('Master Inputs Start here'!$B$71="Yes",IF(H36&lt;'Master Inputs Start here'!$B$54/2,$D$15,$D$48+(($D$15-$D$48)/('Master Inputs Start here'!$B$54/2))*('Master Inputs Start here'!$B$54-'Valuation Model'!H36)),$D$15))</f>
        <v>0.36393380400283304</v>
      </c>
      <c r="I37" s="102">
        <f>IF($D$14&lt;I36," ",IF('Master Inputs Start here'!$B$71="Yes",IF(I36&lt;'Master Inputs Start here'!$B$54/2,$D$15,$D$48+(($D$15-$D$48)/('Master Inputs Start here'!$B$54/2))*('Master Inputs Start here'!$B$54-'Valuation Model'!I36)),$D$15))</f>
        <v>0.36393380400283304</v>
      </c>
      <c r="J37" s="102">
        <f>IF($D$14&lt;J36," ",IF('Master Inputs Start here'!$B$71="Yes",IF(J36&lt;'Master Inputs Start here'!$B$54/2,$D$15,$D$48+(($D$15-$D$48)/('Master Inputs Start here'!$B$54/2))*('Master Inputs Start here'!$B$54-'Valuation Model'!J36)),$D$15))</f>
        <v>0.3116115033356942</v>
      </c>
      <c r="K37" s="102">
        <f>IF($D$14&lt;K36," ",IF('Master Inputs Start here'!$B$71="Yes",IF(K36&lt;'Master Inputs Start here'!$B$54/2,$D$15,$D$48+(($D$15-$D$48)/('Master Inputs Start here'!$B$54/2))*('Master Inputs Start here'!$B$54-'Valuation Model'!K36)),$D$15))</f>
        <v>0.2592892026685554</v>
      </c>
      <c r="L37" s="102">
        <f>IF($D$14&lt;L36," ",IF('Master Inputs Start here'!$B$71="Yes",IF(L36&lt;'Master Inputs Start here'!$B$54/2,$D$15,$D$48+(($D$15-$D$48)/('Master Inputs Start here'!$B$54/2))*('Master Inputs Start here'!$B$54-'Valuation Model'!L36)),$D$15))</f>
        <v>0.20696690200141654</v>
      </c>
      <c r="M37" s="102">
        <f>IF($D$14&lt;M36," ",IF('Master Inputs Start here'!$B$71="Yes",IF(M36&lt;'Master Inputs Start here'!$B$54/2,$D$15,$D$48+(($D$15-$D$48)/('Master Inputs Start here'!$B$54/2))*('Master Inputs Start here'!$B$54-'Valuation Model'!M36)),$D$15))</f>
        <v>0.15464460133427768</v>
      </c>
      <c r="N37" s="102">
        <f>IF($D$14&lt;N36," ",IF('Master Inputs Start here'!$B$71="Yes",IF(N36&lt;'Master Inputs Start here'!$B$54/2,$D$15,$D$48+(($D$15-$D$48)/('Master Inputs Start here'!$B$54/2))*('Master Inputs Start here'!$B$54-'Valuation Model'!N36)),$D$15))</f>
        <v>0.10232230066713885</v>
      </c>
      <c r="O37" s="102">
        <f>IF($D$14&lt;O36," ",IF('Master Inputs Start here'!$B$71="Yes",IF(O36&lt;'Master Inputs Start here'!$B$54/2,$D$15,$D$48+(($D$15-$D$48)/('Master Inputs Start here'!$B$54/2))*('Master Inputs Start here'!$B$54-'Valuation Model'!O36)),$D$15))</f>
        <v>0.05</v>
      </c>
      <c r="P37" s="102" t="str">
        <f>IF($D$14&lt;P36," ",IF('Master Inputs Start here'!$B$71="Yes",IF(P36&lt;'Master Inputs Start here'!$B$54/2,$D$15,$D$48+(($D$15-$D$48)/('Master Inputs Start here'!$B$54/2))*('Master Inputs Start here'!$B$54-'Valuation Model'!P36)),$D$15))</f>
        <v> </v>
      </c>
      <c r="Q37" s="102" t="str">
        <f>IF($D$14&lt;Q36," ",IF('Master Inputs Start here'!$B$71="Yes",IF(Q36&lt;'Master Inputs Start here'!$B$54/2,$D$15,$D$48+(($D$15-$D$48)/('Master Inputs Start here'!$B$54/2))*('Master Inputs Start here'!$B$54-'Valuation Model'!Q36)),$D$15))</f>
        <v> </v>
      </c>
      <c r="R37" s="102" t="str">
        <f>IF($D$14&lt;R36," ",IF('Master Inputs Start here'!$B$71="Yes",IF(R36&lt;'Master Inputs Start here'!$B$54/2,$D$15,$D$48+(($D$15-$D$48)/('Master Inputs Start here'!$B$54/2))*('Master Inputs Start here'!$B$54-'Valuation Model'!R36)),$D$15))</f>
        <v> </v>
      </c>
      <c r="S37" s="110"/>
    </row>
    <row r="38" spans="2:19" s="4" customFormat="1" ht="19.5" customHeight="1">
      <c r="B38" s="112" t="s">
        <v>423</v>
      </c>
      <c r="C38" s="109"/>
      <c r="D38" s="102">
        <f>IF($D$14&lt;D36," ",(1+D37))</f>
        <v>1.363933804002833</v>
      </c>
      <c r="E38" s="102">
        <f>IF($D$14&lt;E36," ",(1+D37)*(1+E37))</f>
        <v>1.8603154217016387</v>
      </c>
      <c r="F38" s="102">
        <f>IF($D$14&lt;F36," ",(1+D37)*(1+E37)*(1+F37))</f>
        <v>2.5373470897666506</v>
      </c>
      <c r="G38" s="102">
        <f>IF($D$14&lt;G36," ",(1+D37)*(1+E37)*(1+F37)*(1+G37))</f>
        <v>3.4607734682209457</v>
      </c>
      <c r="H38" s="102">
        <f>IF($D$14&lt;H36," ",(1+D37)*(1+E37)*(1+F37)*(1+G37)*(1+H37))</f>
        <v>4.720265921302672</v>
      </c>
      <c r="I38" s="102">
        <f>IF($D$14&lt;I36," ",(1+D37)*(1+E37)*(1+F37)*(1+G37)*(1+H37)*(1+I37))</f>
        <v>6.438130253947291</v>
      </c>
      <c r="J38" s="102">
        <f>IF($D$14&lt;J36," ",(1+D37)*(1+E37)*(1+F37)*(1+G37)*(1+H37)*(1+I37)*(1+J37))</f>
        <v>8.44432570105082</v>
      </c>
      <c r="K38" s="102">
        <f>IF($D$14&lt;K36," ",(1+D37)*(1+E37)*(1+F37)*(1+G37)*(1+H37)*(1+I37)*(1+J37)*(1+K37))</f>
        <v>10.633848179149878</v>
      </c>
      <c r="L38" s="102">
        <f>IF($D$14&lt;L36," ",(1+D37)*(1+E37)*(1+F37)*(1+G37)*(1+H37)*(1+I37)*(1+J37)*(1+K37)*(1+L37))</f>
        <v>12.834702793141933</v>
      </c>
      <c r="M38" s="102">
        <f>IF($D$14&lt;M36," ",(1+D37)*(1+E37)*(1+F37)*(1+G37)*(1+H37)*(1+I37)*(1+J37)*(1+K37)*(1+L37)*(1+M37))</f>
        <v>14.819520289831308</v>
      </c>
      <c r="N38" s="102">
        <f>IF($D$14&lt;N36," ",(1+D37)*(1+E37)*(1+F37)*(1+G37)*(1+H37)*(1+I37)*(1+J37)*(1+K37)*(1+L37)*(1+M37)*(1+N37))</f>
        <v>16.33588770067019</v>
      </c>
      <c r="O38" s="102">
        <f>IF($D$14&lt;O36," ",(1+D37)*(1+E37)*(1+F37)*(1+G37)*(1+H37)*(1+I37)*(1+J37)*(1+K37)*(1+L37)*(1+M37)*(1+N37)*(1+O37))</f>
        <v>17.152682085703702</v>
      </c>
      <c r="P38" s="102" t="str">
        <f>IF($D$14&lt;P36," ",(1+D37)*(1+E37)*(1+F37)*(1+G37)*(1+H37)*(1+I37)*(1+J37)*(1+K37)*(1+L37)*(1+M37)*(1+N37)*(1+O37)*(1+P37))</f>
        <v> </v>
      </c>
      <c r="Q38" s="102" t="str">
        <f>IF($D$14&lt;Q36," ",(1+D37)*(1+E37)*(1+F37)*(1+G37)*(1+H37)*(1+I37)*(1+J37)*(1+K37)*(1+L37)*(1+M37)*(1+N37)*(1+O37)*(1+P37)*(1+Q37))</f>
        <v> </v>
      </c>
      <c r="R38" s="102" t="str">
        <f>IF($D$14&lt;R36," ",(1+D37)*(1+E37)*(1+F37)*(1+G37)*(1+H37)*(1+I37)*(1+J37)*(1+K37)*(1+L37)*(1+M37)*(1+N37)*(1+O37)*(1+P37)*(1+Q37)*(1+R37))</f>
        <v> </v>
      </c>
      <c r="S38" s="110"/>
    </row>
    <row r="39" spans="2:19" s="4" customFormat="1" ht="19.5" customHeight="1">
      <c r="B39" s="112" t="s">
        <v>158</v>
      </c>
      <c r="C39" s="109"/>
      <c r="D39" s="102">
        <f>IF($D$14&lt;D36," ",IF('Master Inputs Start here'!$B$71="Yes",IF(D36&lt;'Master Inputs Start here'!$B$54/2,$D$23,$D$49+(($D$23-$D$49)/('Master Inputs Start here'!$B$54/2))*('Master Inputs Start here'!$B$54-'Valuation Model'!D36)),$D$23))</f>
        <v>1.068059132648995</v>
      </c>
      <c r="E39" s="102">
        <f>IF($D$14&lt;E36," ",IF('Master Inputs Start here'!$B$71="Yes",IF(E36&lt;'Master Inputs Start here'!$B$54/2,$D$23,$D$49+(($D$23-$D$49)/('Master Inputs Start here'!$B$54/2))*('Master Inputs Start here'!$B$54-'Valuation Model'!E36)),$D$23))</f>
        <v>1.068059132648995</v>
      </c>
      <c r="F39" s="102">
        <f>IF($D$14&lt;F36," ",IF('Master Inputs Start here'!$B$71="Yes",IF(F36&lt;'Master Inputs Start here'!$B$54/2,$D$23,$D$49+(($D$23-$D$49)/('Master Inputs Start here'!$B$54/2))*('Master Inputs Start here'!$B$54-'Valuation Model'!F36)),$D$23))</f>
        <v>1.068059132648995</v>
      </c>
      <c r="G39" s="102">
        <f>IF($D$14&lt;G36," ",IF('Master Inputs Start here'!$B$71="Yes",IF(G36&lt;'Master Inputs Start here'!$B$54/2,$D$23,$D$49+(($D$23-$D$49)/('Master Inputs Start here'!$B$54/2))*('Master Inputs Start here'!$B$54-'Valuation Model'!G36)),$D$23))</f>
        <v>1.068059132648995</v>
      </c>
      <c r="H39" s="102">
        <f>IF($D$14&lt;H36," ",IF('Master Inputs Start here'!$B$71="Yes",IF(H36&lt;'Master Inputs Start here'!$B$54/2,$D$23,$D$49+(($D$23-$D$49)/('Master Inputs Start here'!$B$54/2))*('Master Inputs Start here'!$B$54-'Valuation Model'!H36)),$D$23))</f>
        <v>1.068059132648995</v>
      </c>
      <c r="I39" s="102">
        <f>IF($D$14&lt;I36," ",IF('Master Inputs Start here'!$B$71="Yes",IF(I36&lt;'Master Inputs Start here'!$B$54/2,$D$23,$D$49+(($D$23-$D$49)/('Master Inputs Start here'!$B$54/2))*('Master Inputs Start here'!$B$54-'Valuation Model'!I36)),$D$23))</f>
        <v>1.068059132648995</v>
      </c>
      <c r="J39" s="102">
        <f>IF($D$14&lt;J36," ",IF('Master Inputs Start here'!$B$71="Yes",IF(J36&lt;'Master Inputs Start here'!$B$54/2,$D$23,$D$49+(($D$23-$D$49)/('Master Inputs Start here'!$B$54/2))*('Master Inputs Start here'!$B$54-'Valuation Model'!J36)),$D$23))</f>
        <v>0.9404931835836057</v>
      </c>
      <c r="K39" s="102">
        <f>IF($D$14&lt;K36," ",IF('Master Inputs Start here'!$B$71="Yes",IF(K36&lt;'Master Inputs Start here'!$B$54/2,$D$23,$D$49+(($D$23-$D$49)/('Master Inputs Start here'!$B$54/2))*('Master Inputs Start here'!$B$54-'Valuation Model'!K36)),$D$23))</f>
        <v>0.8129272345182161</v>
      </c>
      <c r="L39" s="102">
        <f>IF($D$14&lt;L36," ",IF('Master Inputs Start here'!$B$71="Yes",IF(L36&lt;'Master Inputs Start here'!$B$54/2,$D$23,$D$49+(($D$23-$D$49)/('Master Inputs Start here'!$B$54/2))*('Master Inputs Start here'!$B$54-'Valuation Model'!L36)),$D$23))</f>
        <v>0.6853612854528268</v>
      </c>
      <c r="M39" s="102">
        <f>IF($D$14&lt;M36," ",IF('Master Inputs Start here'!$B$71="Yes",IF(M36&lt;'Master Inputs Start here'!$B$54/2,$D$23,$D$49+(($D$23-$D$49)/('Master Inputs Start here'!$B$54/2))*('Master Inputs Start here'!$B$54-'Valuation Model'!M36)),$D$23))</f>
        <v>0.5577953363874374</v>
      </c>
      <c r="N39" s="102">
        <f>IF($D$14&lt;N36," ",IF('Master Inputs Start here'!$B$71="Yes",IF(N36&lt;'Master Inputs Start here'!$B$54/2,$D$23,$D$49+(($D$23-$D$49)/('Master Inputs Start here'!$B$54/2))*('Master Inputs Start here'!$B$54-'Valuation Model'!N36)),$D$23))</f>
        <v>0.43022938732204796</v>
      </c>
      <c r="O39" s="102">
        <f>IF($D$14&lt;O36," ",IF('Master Inputs Start here'!$B$71="Yes",IF(O36&lt;'Master Inputs Start here'!$B$54/2,$D$23,$D$49+(($D$23-$D$49)/('Master Inputs Start here'!$B$54/2))*('Master Inputs Start here'!$B$54-'Valuation Model'!O36)),$D$23))</f>
        <v>0.3026634382566586</v>
      </c>
      <c r="P39" s="102" t="str">
        <f>IF($D$14&lt;P36," ",IF('Master Inputs Start here'!$B$71="Yes",IF(P36&lt;'Master Inputs Start here'!$B$54/2,$D$23,$D$49+(($D$23-$D$49)/('Master Inputs Start here'!$B$54/2))*('Master Inputs Start here'!$B$54-'Valuation Model'!P36)),$D$23))</f>
        <v> </v>
      </c>
      <c r="Q39" s="102" t="str">
        <f>IF($D$14&lt;Q36," ",IF('Master Inputs Start here'!$B$71="Yes",IF(Q36&lt;'Master Inputs Start here'!$B$54/2,$D$23,$D$49+(($D$23-$D$49)/('Master Inputs Start here'!$B$54/2))*('Master Inputs Start here'!$B$54-'Valuation Model'!Q36)),$D$23))</f>
        <v> </v>
      </c>
      <c r="R39" s="102" t="str">
        <f>IF($D$14&lt;R36," ",IF('Master Inputs Start here'!$B$71="Yes",IF(R36&lt;'Master Inputs Start here'!$B$54/2,$D$23,$D$49+(($D$23-$D$49)/('Master Inputs Start here'!$B$54/2))*('Master Inputs Start here'!$B$54-'Valuation Model'!R36)),$D$23))</f>
        <v> </v>
      </c>
      <c r="S39" s="110"/>
    </row>
    <row r="40" spans="2:19" s="4" customFormat="1" ht="19.5" customHeight="1">
      <c r="B40" s="112" t="s">
        <v>242</v>
      </c>
      <c r="C40" s="128">
        <f>IF('Master Inputs Start here'!B4="yes",D3*(1-D7)+'R&amp;D converter'!D40,D3*(1-D7))</f>
        <v>3388.4953348522117</v>
      </c>
      <c r="D40" s="128">
        <f>IF($D$14&lt;D36," ",C40*(1+D37))</f>
        <v>4621.683331910831</v>
      </c>
      <c r="E40" s="128">
        <f aca="true" t="shared" si="0" ref="E40:R40">IF($D$14&lt;E36," ",D40*(1+E37))</f>
        <v>6303.670127789627</v>
      </c>
      <c r="F40" s="128">
        <f t="shared" si="0"/>
        <v>8597.788776575131</v>
      </c>
      <c r="G40" s="128">
        <f t="shared" si="0"/>
        <v>11726.814752046983</v>
      </c>
      <c r="H40" s="128">
        <f t="shared" si="0"/>
        <v>15994.59905359598</v>
      </c>
      <c r="I40" s="128">
        <f t="shared" si="0"/>
        <v>21815.57433067128</v>
      </c>
      <c r="J40" s="128">
        <f t="shared" si="0"/>
        <v>28613.558243983334</v>
      </c>
      <c r="K40" s="128">
        <f t="shared" si="0"/>
        <v>36032.744946576044</v>
      </c>
      <c r="L40" s="128">
        <f t="shared" si="0"/>
        <v>43490.33053877609</v>
      </c>
      <c r="M40" s="128">
        <f t="shared" si="0"/>
        <v>50215.875366841086</v>
      </c>
      <c r="N40" s="128">
        <f t="shared" si="0"/>
        <v>55354.079264390566</v>
      </c>
      <c r="O40" s="128">
        <f t="shared" si="0"/>
        <v>58121.783227610096</v>
      </c>
      <c r="P40" s="80" t="str">
        <f t="shared" si="0"/>
        <v> </v>
      </c>
      <c r="Q40" s="80" t="str">
        <f t="shared" si="0"/>
        <v> </v>
      </c>
      <c r="R40" s="80" t="str">
        <f t="shared" si="0"/>
        <v> </v>
      </c>
      <c r="S40" s="80">
        <f>(MAX(C40:R40)/(1-D21))*(1-E21)*(1+D48)</f>
        <v>61027.8723889906</v>
      </c>
    </row>
    <row r="41" spans="2:19" s="4" customFormat="1" ht="19.5" customHeight="1">
      <c r="B41" s="112" t="s">
        <v>386</v>
      </c>
      <c r="C41" s="129">
        <f>D5-D6</f>
        <v>3740.9715420216758</v>
      </c>
      <c r="D41" s="128">
        <f>IF($D$14&lt;D36," ",D39*D40-D42)</f>
        <v>4405.440916396947</v>
      </c>
      <c r="E41" s="128">
        <f aca="true" t="shared" si="1" ref="E41:R41">IF($D$14&lt;E36," ",E39*E40-E42)</f>
        <v>6008.7297874110145</v>
      </c>
      <c r="F41" s="128">
        <f t="shared" si="1"/>
        <v>8195.50967616864</v>
      </c>
      <c r="G41" s="128">
        <f t="shared" si="1"/>
        <v>11178.132688358719</v>
      </c>
      <c r="H41" s="128">
        <f t="shared" si="1"/>
        <v>15246.233039281524</v>
      </c>
      <c r="I41" s="128">
        <f t="shared" si="1"/>
        <v>20794.852625980922</v>
      </c>
      <c r="J41" s="128">
        <f t="shared" si="1"/>
        <v>23984.860550847254</v>
      </c>
      <c r="K41" s="128">
        <f t="shared" si="1"/>
        <v>26098.624957662378</v>
      </c>
      <c r="L41" s="128">
        <f t="shared" si="1"/>
        <v>26596.68640540878</v>
      </c>
      <c r="M41" s="128">
        <f t="shared" si="1"/>
        <v>25115.364469665234</v>
      </c>
      <c r="N41" s="128">
        <f t="shared" si="1"/>
        <v>21603.360066334535</v>
      </c>
      <c r="O41" s="128">
        <f t="shared" si="1"/>
        <v>16400.06047459299</v>
      </c>
      <c r="P41" s="80" t="str">
        <f t="shared" si="1"/>
        <v> </v>
      </c>
      <c r="Q41" s="80" t="str">
        <f t="shared" si="1"/>
        <v> </v>
      </c>
      <c r="R41" s="80" t="str">
        <f t="shared" si="1"/>
        <v> </v>
      </c>
      <c r="S41" s="80">
        <f>IF('Master Inputs Start here'!B81="yes",'Valuation Model'!E23*S40-S42,('Master Inputs Start here'!B83-1)*D6*(1+'Valuation Model'!D33)^D14*(1+D48))</f>
        <v>15448.240805173395</v>
      </c>
    </row>
    <row r="42" spans="2:19" s="4" customFormat="1" ht="19.5" customHeight="1">
      <c r="B42" s="112" t="s">
        <v>374</v>
      </c>
      <c r="C42" s="128">
        <f>D10</f>
        <v>-121.85815369425704</v>
      </c>
      <c r="D42" s="128">
        <f>IF($D$14&lt;D36," ",($D$8*(D38-1)*$D$34))</f>
        <v>530.7901744620519</v>
      </c>
      <c r="E42" s="128">
        <f>IF($D$14&lt;E36," ",($D$8*(E38-D38)*$D$34))</f>
        <v>723.962661781354</v>
      </c>
      <c r="F42" s="128">
        <f aca="true" t="shared" si="2" ref="F42:R42">IF($D$14&lt;F36," ",($D$8*(F38-E38)*$D$34))</f>
        <v>987.4371472394585</v>
      </c>
      <c r="G42" s="128">
        <f t="shared" si="2"/>
        <v>1346.7989044480203</v>
      </c>
      <c r="H42" s="128">
        <f t="shared" si="2"/>
        <v>1836.9445529706359</v>
      </c>
      <c r="I42" s="128">
        <f t="shared" si="2"/>
        <v>2505.470771875524</v>
      </c>
      <c r="J42" s="128">
        <f t="shared" si="2"/>
        <v>2925.995935691555</v>
      </c>
      <c r="K42" s="128">
        <f t="shared" si="2"/>
        <v>3193.374743857913</v>
      </c>
      <c r="L42" s="128">
        <f t="shared" si="2"/>
        <v>3209.9024374151327</v>
      </c>
      <c r="M42" s="128">
        <f t="shared" si="2"/>
        <v>2894.8166225715204</v>
      </c>
      <c r="N42" s="128">
        <f t="shared" si="2"/>
        <v>2211.5915413602947</v>
      </c>
      <c r="O42" s="128">
        <f t="shared" si="2"/>
        <v>1191.2782746836745</v>
      </c>
      <c r="P42" s="80" t="str">
        <f t="shared" si="2"/>
        <v> </v>
      </c>
      <c r="Q42" s="80" t="str">
        <f t="shared" si="2"/>
        <v> </v>
      </c>
      <c r="R42" s="80" t="str">
        <f t="shared" si="2"/>
        <v> </v>
      </c>
      <c r="S42" s="80">
        <f>(D8*(1+D33)^D14*(1+D48)-D8*(1+D33)^D14)*D34</f>
        <v>3022.664881567103</v>
      </c>
    </row>
    <row r="43" spans="2:19" s="4" customFormat="1" ht="19.5" customHeight="1">
      <c r="B43" s="112" t="s">
        <v>63</v>
      </c>
      <c r="C43" s="128">
        <f>C40-C41-C42</f>
        <v>-230.61805347520698</v>
      </c>
      <c r="D43" s="128">
        <f>IF($D$14&lt;D36," ",D40-D41-D42)</f>
        <v>-314.5477589481677</v>
      </c>
      <c r="E43" s="128">
        <f aca="true" t="shared" si="3" ref="E43:R43">IF($D$14&lt;E36," ",E40-E41-E42)</f>
        <v>-429.0223214027412</v>
      </c>
      <c r="F43" s="128">
        <f t="shared" si="3"/>
        <v>-585.1580468329673</v>
      </c>
      <c r="G43" s="128">
        <f t="shared" si="3"/>
        <v>-798.1168407597563</v>
      </c>
      <c r="H43" s="128">
        <f t="shared" si="3"/>
        <v>-1088.5785386561788</v>
      </c>
      <c r="I43" s="128">
        <f t="shared" si="3"/>
        <v>-1484.749067185167</v>
      </c>
      <c r="J43" s="128">
        <f t="shared" si="3"/>
        <v>1702.7017574445254</v>
      </c>
      <c r="K43" s="128">
        <f t="shared" si="3"/>
        <v>6740.745245055753</v>
      </c>
      <c r="L43" s="128">
        <f t="shared" si="3"/>
        <v>13683.741695952182</v>
      </c>
      <c r="M43" s="128">
        <f t="shared" si="3"/>
        <v>22205.69427460433</v>
      </c>
      <c r="N43" s="128">
        <f t="shared" si="3"/>
        <v>31539.127656695735</v>
      </c>
      <c r="O43" s="128">
        <f t="shared" si="3"/>
        <v>40530.44447833343</v>
      </c>
      <c r="P43" s="80" t="str">
        <f t="shared" si="3"/>
        <v> </v>
      </c>
      <c r="Q43" s="80" t="str">
        <f t="shared" si="3"/>
        <v> </v>
      </c>
      <c r="R43" s="80" t="str">
        <f t="shared" si="3"/>
        <v> </v>
      </c>
      <c r="S43" s="100">
        <f>S40-S41-S42</f>
        <v>42556.96670225011</v>
      </c>
    </row>
    <row r="44" spans="2:19" s="4" customFormat="1" ht="19.5" customHeight="1">
      <c r="B44" s="112" t="s">
        <v>194</v>
      </c>
      <c r="C44" s="80"/>
      <c r="D44" s="102">
        <f>IF($D$14&lt;D36," ",IF('Master Inputs Start here'!$B$71="Yes",IF(D36&lt;'Master Inputs Start here'!$B$54/2,$D$30,$D$55+(($D$30-$D$55)/('Master Inputs Start here'!$B$54/2))*('Master Inputs Start here'!$B$54-'Valuation Model'!D36)),$D$30))</f>
        <v>0.11706231065918078</v>
      </c>
      <c r="E44" s="102">
        <f>IF($D$14&lt;E36," ",IF('Master Inputs Start here'!$B$71="Yes",IF(E36&lt;'Master Inputs Start here'!$B$54/2,$D$30,$D$55+(($D$30-$D$55)/('Master Inputs Start here'!$B$54/2))*('Master Inputs Start here'!$B$54-'Valuation Model'!E36)),$D$30))</f>
        <v>0.11706231065918078</v>
      </c>
      <c r="F44" s="102">
        <f>IF($D$14&lt;F36," ",IF('Master Inputs Start here'!$B$71="Yes",IF(F36&lt;'Master Inputs Start here'!$B$54/2,$D$30,$D$55+(($D$30-$D$55)/('Master Inputs Start here'!$B$54/2))*('Master Inputs Start here'!$B$54-'Valuation Model'!F36)),$D$30))</f>
        <v>0.11706231065918078</v>
      </c>
      <c r="G44" s="102">
        <f>IF($D$14&lt;G36," ",IF('Master Inputs Start here'!$B$71="Yes",IF(G36&lt;'Master Inputs Start here'!$B$54/2,$D$30,$D$55+(($D$30-$D$55)/('Master Inputs Start here'!$B$54/2))*('Master Inputs Start here'!$B$54-'Valuation Model'!G36)),$D$30))</f>
        <v>0.11706231065918078</v>
      </c>
      <c r="H44" s="102">
        <f>IF($D$14&lt;H36," ",IF('Master Inputs Start here'!$B$71="Yes",IF(H36&lt;'Master Inputs Start here'!$B$54/2,$D$30,$D$55+(($D$30-$D$55)/('Master Inputs Start here'!$B$54/2))*('Master Inputs Start here'!$B$54-'Valuation Model'!H36)),$D$30))</f>
        <v>0.11706231065918078</v>
      </c>
      <c r="I44" s="102">
        <f>IF($D$14&lt;I36," ",IF('Master Inputs Start here'!$B$71="Yes",IF(I36&lt;'Master Inputs Start here'!$B$54/2,$D$30,$D$55+(($D$30-$D$55)/('Master Inputs Start here'!$B$54/2))*('Master Inputs Start here'!$B$54-'Valuation Model'!I36)),$D$30))</f>
        <v>0.11706231065918078</v>
      </c>
      <c r="J44" s="102">
        <f>IF($D$14&lt;J36," ",IF('Master Inputs Start here'!$B$71="Yes",IF(J36&lt;'Master Inputs Start here'!$B$54/2,$D$30,$D$55+(($D$30-$D$55)/('Master Inputs Start here'!$B$54/2))*('Master Inputs Start here'!$B$54-'Valuation Model'!J36)),$D$30))</f>
        <v>0.11322359221598399</v>
      </c>
      <c r="K44" s="102">
        <f>IF($D$14&lt;K36," ",IF('Master Inputs Start here'!$B$71="Yes",IF(K36&lt;'Master Inputs Start here'!$B$54/2,$D$30,$D$55+(($D$30-$D$55)/('Master Inputs Start here'!$B$54/2))*('Master Inputs Start here'!$B$54-'Valuation Model'!K36)),$D$30))</f>
        <v>0.10938487377278719</v>
      </c>
      <c r="L44" s="102">
        <f>IF($D$14&lt;L36," ",IF('Master Inputs Start here'!$B$71="Yes",IF(L36&lt;'Master Inputs Start here'!$B$54/2,$D$30,$D$55+(($D$30-$D$55)/('Master Inputs Start here'!$B$54/2))*('Master Inputs Start here'!$B$54-'Valuation Model'!L36)),$D$30))</f>
        <v>0.1055461553295904</v>
      </c>
      <c r="M44" s="102">
        <f>IF($D$14&lt;M36," ",IF('Master Inputs Start here'!$B$71="Yes",IF(M36&lt;'Master Inputs Start here'!$B$54/2,$D$30,$D$55+(($D$30-$D$55)/('Master Inputs Start here'!$B$54/2))*('Master Inputs Start here'!$B$54-'Valuation Model'!M36)),$D$30))</f>
        <v>0.10170743688639361</v>
      </c>
      <c r="N44" s="102">
        <f>IF($D$14&lt;N36," ",IF('Master Inputs Start here'!$B$71="Yes",IF(N36&lt;'Master Inputs Start here'!$B$54/2,$D$30,$D$55+(($D$30-$D$55)/('Master Inputs Start here'!$B$54/2))*('Master Inputs Start here'!$B$54-'Valuation Model'!N36)),$D$30))</f>
        <v>0.0978687184431968</v>
      </c>
      <c r="O44" s="102">
        <f>IF($D$14&lt;O36," ",IF('Master Inputs Start here'!$B$71="Yes",IF(O36&lt;'Master Inputs Start here'!$B$54/2,$D$30,$D$55+(($D$30-$D$55)/('Master Inputs Start here'!$B$54/2))*('Master Inputs Start here'!$B$54-'Valuation Model'!O36)),$D$30))</f>
        <v>0.09403000000000002</v>
      </c>
      <c r="P44" s="102" t="str">
        <f>IF($D$14&lt;P36," ",IF('Master Inputs Start here'!$B$71="Yes",IF(P36&lt;'Master Inputs Start here'!$B$54/2,$D$30,$D$55+(($D$30-$D$55)/('Master Inputs Start here'!$B$54/2))*('Master Inputs Start here'!$B$54-'Valuation Model'!P36)),$D$30))</f>
        <v> </v>
      </c>
      <c r="Q44" s="102" t="str">
        <f>IF($D$14&lt;Q36," ",IF('Master Inputs Start here'!$B$71="Yes",IF(Q36&lt;'Master Inputs Start here'!$B$54/2,$D$30,$D$55+(($D$30-$D$55)/('Master Inputs Start here'!$B$54/2))*('Master Inputs Start here'!$B$54-'Valuation Model'!Q36)),$D$30))</f>
        <v> </v>
      </c>
      <c r="R44" s="102" t="str">
        <f>IF($D$14&lt;R36," ",IF('Master Inputs Start here'!$B$71="Yes",IF(R36&lt;'Master Inputs Start here'!$B$54/2,$D$30,$D$55+(($D$30-$D$55)/('Master Inputs Start here'!$B$54/2))*('Master Inputs Start here'!$B$54-'Valuation Model'!R36)),$D$30))</f>
        <v> </v>
      </c>
      <c r="S44" s="100"/>
    </row>
    <row r="45" spans="2:19" s="4" customFormat="1" ht="19.5" customHeight="1">
      <c r="B45" s="112" t="s">
        <v>121</v>
      </c>
      <c r="C45" s="80"/>
      <c r="D45" s="127">
        <f>IF($D$14&lt;D36," ",(1+D44))</f>
        <v>1.1170623106591808</v>
      </c>
      <c r="E45" s="127">
        <f>IF($D$14&lt;E36," ",(1+D44)*(1+E44))</f>
        <v>1.2478282058952281</v>
      </c>
      <c r="F45" s="127">
        <f>IF($D$14&lt;F36," ",(1+D44)*(1+E44)*(1+F44))</f>
        <v>1.3939018589830237</v>
      </c>
      <c r="G45" s="127">
        <f>IF($D$14&lt;G36," ",(1+D44)*(1+E44)*(1+F44)*(1+G44))</f>
        <v>1.557075231427704</v>
      </c>
      <c r="H45" s="127">
        <f>IF($D$14&lt;H36," ",(1+D44)*(1+E44)*(1+F44)*(1+G44)*(1+H44))</f>
        <v>1.73935005588881</v>
      </c>
      <c r="I45" s="127">
        <f>IF($D$14&lt;I36," ",(1+D44)*(1+E44)*(1+F44)*(1+G44)*(1+H44)*(1+I44))</f>
        <v>1.9429623924763293</v>
      </c>
      <c r="J45" s="127">
        <f>IF($D$14&lt;J36," ",(1+D44)*(1+E44)*(1+F44)*(1+G44)*(1+H44)*(1+I44)*(1+J44))</f>
        <v>2.1629515740930616</v>
      </c>
      <c r="K45" s="127">
        <f>IF($D$14&lt;K36," ",(1+D44)*(1+E44)*(1+F44)*(1+G44)*(1+H44)*(1+I44)*(1+J44)*(1+K44))</f>
        <v>2.3995457590018825</v>
      </c>
      <c r="L45" s="127">
        <f>IF($D$14&lt;L36," ",(1+D44)*(1+E44)*(1+F44)*(1+G44)*(1+H44)*(1+I44)*(1+J44)*(1+K44)*(1+L44))</f>
        <v>2.652808588401955</v>
      </c>
      <c r="M45" s="127">
        <f>IF($D$14&lt;M36," ",(1+D44)*(1+E44)*(1+F44)*(1+G44)*(1+H44)*(1+I44)*(1+J44)*(1+K44)*(1+L44)*(1+M44))</f>
        <v>2.9226189504785296</v>
      </c>
      <c r="N45" s="127">
        <f>IF($D$14&lt;N36," ",(1+D44)*(1+E44)*(1+F44)*(1+G44)*(1+H44)*(1+I44)*(1+J44)*(1+K44)*(1+L44)*(1+M44)*(1+N44))</f>
        <v>3.2086519216596643</v>
      </c>
      <c r="O45" s="127">
        <f>IF($D$14&lt;O36," ",(1+D44)*(1+E44)*(1+F44)*(1+G44)*(1+H44)*(1+I44)*(1+J44)*(1+K44)*(1+L44)*(1+M44)*(1+N44)*(1+O44))</f>
        <v>3.5103614618533228</v>
      </c>
      <c r="P45" s="102" t="str">
        <f>IF($D$14&lt;P36," ",(1+D44)*(1+E44)*(1+F44)*(1+G44)*(1+H44)*(1+I44)*(1+J44)*(1+K44)*(1+L44)*(1+M44)*(1+N44)*(1+O44)*(1+P44))</f>
        <v> </v>
      </c>
      <c r="Q45" s="102" t="str">
        <f>IF($D$14&lt;Q36," ",(1+D44)*(1+E44)*(1+F44)*(1+G44)*(1+H44)*(1+I44)*(1+J44)*(1+K44)*(1+L44)*(1+M44)*(1+N44)*(1+O44)*(1+P44)*(1+Q44))</f>
        <v> </v>
      </c>
      <c r="R45" s="102" t="str">
        <f>IF($D$14&lt;R36," ",(1+D44)*(1+E44)*(1+F44)*(1+G44)*(1+H44)*(1+I44)*(1+J44)*(1+K44)*(1+L44)*(1+M44)*(1+N44)*(1+O44)*(1+P44)*(1+Q44)*(1+R44))</f>
        <v> </v>
      </c>
      <c r="S45" s="100"/>
    </row>
    <row r="46" spans="2:19" s="4" customFormat="1" ht="19.5" customHeight="1">
      <c r="B46" s="72" t="s">
        <v>302</v>
      </c>
      <c r="C46" s="111"/>
      <c r="D46" s="130">
        <f>IF($D$14&lt;D36," ",D43/D45)</f>
        <v>-281.5847924925087</v>
      </c>
      <c r="E46" s="130">
        <f aca="true" t="shared" si="4" ref="E46:R46">IF($D$14&lt;E36," ",E43/E45)</f>
        <v>-343.8152138057724</v>
      </c>
      <c r="F46" s="130">
        <f t="shared" si="4"/>
        <v>-419.79859848948945</v>
      </c>
      <c r="G46" s="130">
        <f t="shared" si="4"/>
        <v>-512.5743603460649</v>
      </c>
      <c r="H46" s="130">
        <f t="shared" si="4"/>
        <v>-625.8536255945983</v>
      </c>
      <c r="I46" s="130">
        <f t="shared" si="4"/>
        <v>-764.1676817495351</v>
      </c>
      <c r="J46" s="130">
        <f t="shared" si="4"/>
        <v>787.2121492865499</v>
      </c>
      <c r="K46" s="130">
        <f t="shared" si="4"/>
        <v>2809.1755365647373</v>
      </c>
      <c r="L46" s="130">
        <f t="shared" si="4"/>
        <v>5158.209211089456</v>
      </c>
      <c r="M46" s="130">
        <f t="shared" si="4"/>
        <v>7597.875279282824</v>
      </c>
      <c r="N46" s="130">
        <f t="shared" si="4"/>
        <v>9829.401389348031</v>
      </c>
      <c r="O46" s="130">
        <f t="shared" si="4"/>
        <v>11545.946170721425</v>
      </c>
      <c r="P46" s="111" t="str">
        <f t="shared" si="4"/>
        <v> </v>
      </c>
      <c r="Q46" s="111" t="str">
        <f t="shared" si="4"/>
        <v> </v>
      </c>
      <c r="R46" s="111" t="str">
        <f t="shared" si="4"/>
        <v> </v>
      </c>
      <c r="S46" s="110"/>
    </row>
    <row r="47" spans="4:19" s="4" customFormat="1" ht="19.5" customHeight="1">
      <c r="D47" s="24"/>
      <c r="E47" s="9"/>
      <c r="F47" s="9"/>
      <c r="S47" s="67"/>
    </row>
    <row r="48" spans="2:5" s="4" customFormat="1" ht="19.5" customHeight="1">
      <c r="B48" s="4" t="s">
        <v>231</v>
      </c>
      <c r="D48" s="96">
        <f>'Master Inputs Start here'!B74</f>
        <v>0.05</v>
      </c>
      <c r="E48" s="9"/>
    </row>
    <row r="49" spans="2:5" s="4" customFormat="1" ht="19.5" customHeight="1">
      <c r="B49" s="4" t="s">
        <v>422</v>
      </c>
      <c r="D49" s="96">
        <f>(S41+S42)/S40</f>
        <v>0.3026634382566586</v>
      </c>
      <c r="E49" s="9"/>
    </row>
    <row r="50" spans="2:5" s="4" customFormat="1" ht="19.5" customHeight="1">
      <c r="B50" s="4" t="s">
        <v>232</v>
      </c>
      <c r="D50" s="80">
        <f>S43</f>
        <v>42556.96670225011</v>
      </c>
      <c r="E50" s="9"/>
    </row>
    <row r="51" spans="2:5" s="4" customFormat="1" ht="19.5" customHeight="1">
      <c r="B51" s="4" t="s">
        <v>293</v>
      </c>
      <c r="D51" s="96">
        <f>E18+E17*E19</f>
        <v>0.1</v>
      </c>
      <c r="E51" s="9"/>
    </row>
    <row r="52" spans="2:5" s="4" customFormat="1" ht="19.5" customHeight="1">
      <c r="B52" s="4" t="s">
        <v>294</v>
      </c>
      <c r="D52" s="96">
        <f>1-E16</f>
        <v>0.9</v>
      </c>
      <c r="E52" s="9"/>
    </row>
    <row r="53" spans="2:5" s="4" customFormat="1" ht="19.5" customHeight="1">
      <c r="B53" s="4" t="s">
        <v>408</v>
      </c>
      <c r="D53" s="96">
        <f>E20*(1-E21)</f>
        <v>0.0403</v>
      </c>
      <c r="E53" s="9"/>
    </row>
    <row r="54" spans="2:5" s="4" customFormat="1" ht="19.5" customHeight="1">
      <c r="B54" s="4" t="s">
        <v>311</v>
      </c>
      <c r="D54" s="96">
        <f>1-D52</f>
        <v>0.09999999999999998</v>
      </c>
      <c r="E54" s="9"/>
    </row>
    <row r="55" spans="2:5" s="4" customFormat="1" ht="19.5" customHeight="1">
      <c r="B55" s="4" t="s">
        <v>387</v>
      </c>
      <c r="D55" s="96">
        <f>D51*D52+D53*D54</f>
        <v>0.09403000000000002</v>
      </c>
      <c r="E55" s="9"/>
    </row>
    <row r="56" spans="2:5" s="7" customFormat="1" ht="19.5" customHeight="1">
      <c r="B56" s="7" t="s">
        <v>133</v>
      </c>
      <c r="D56" s="111">
        <f>D50/(D55-D48)</f>
        <v>966544.7808823552</v>
      </c>
      <c r="E56" s="17"/>
    </row>
    <row r="57" spans="2:11" s="4" customFormat="1" ht="19.5" customHeight="1">
      <c r="B57" s="141" t="s">
        <v>171</v>
      </c>
      <c r="C57" s="141"/>
      <c r="D57" s="141"/>
      <c r="E57" s="141"/>
      <c r="F57" s="141"/>
      <c r="G57" s="141"/>
      <c r="H57" s="141"/>
      <c r="I57" s="141"/>
      <c r="J57" s="141"/>
      <c r="K57" s="141"/>
    </row>
    <row r="58" spans="2:6" s="4" customFormat="1" ht="19.5" customHeight="1">
      <c r="B58" s="7" t="s">
        <v>134</v>
      </c>
      <c r="C58" s="7"/>
      <c r="D58" s="7"/>
      <c r="E58" s="17"/>
      <c r="F58" s="113">
        <f>SUM(D46:R46)</f>
        <v>34780.02546381505</v>
      </c>
    </row>
    <row r="59" spans="2:7" s="4" customFormat="1" ht="19.5" customHeight="1">
      <c r="B59" s="7" t="s">
        <v>313</v>
      </c>
      <c r="C59" s="7"/>
      <c r="D59" s="7"/>
      <c r="E59" s="17"/>
      <c r="F59" s="113">
        <f>IF('Master Inputs Start here'!B54=0,'Valuation Model'!D56,D56/MAX(D45:R45))</f>
        <v>275340.52871354745</v>
      </c>
      <c r="G59" s="68"/>
    </row>
    <row r="60" spans="2:6" s="4" customFormat="1" ht="19.5" customHeight="1">
      <c r="B60" s="7" t="s">
        <v>94</v>
      </c>
      <c r="C60" s="7"/>
      <c r="D60" s="7"/>
      <c r="E60" s="17"/>
      <c r="F60" s="113">
        <f>F58+F59</f>
        <v>310120.5541773625</v>
      </c>
    </row>
    <row r="61" spans="2:6" s="4" customFormat="1" ht="19.5" customHeight="1">
      <c r="B61" s="7" t="s">
        <v>427</v>
      </c>
      <c r="C61" s="7"/>
      <c r="D61" s="7"/>
      <c r="E61" s="17"/>
      <c r="F61" s="113">
        <f>'Master Inputs Start here'!B21+'Master Inputs Start here'!B22</f>
        <v>9048</v>
      </c>
    </row>
    <row r="62" spans="2:6" s="4" customFormat="1" ht="19.5" customHeight="1">
      <c r="B62" s="7" t="s">
        <v>202</v>
      </c>
      <c r="C62" s="7"/>
      <c r="D62" s="7"/>
      <c r="E62" s="17"/>
      <c r="F62" s="113">
        <f>F60+F61</f>
        <v>319168.5541773625</v>
      </c>
    </row>
    <row r="63" spans="2:6" s="4" customFormat="1" ht="19.5" customHeight="1">
      <c r="B63" s="7" t="s">
        <v>314</v>
      </c>
      <c r="C63" s="7"/>
      <c r="D63" s="7"/>
      <c r="E63" s="17"/>
      <c r="F63" s="113">
        <f>IF('Master Inputs Start here'!B5="Yes",IF('Master Inputs Start here'!B25="Yes",'Master Inputs Start here'!B29+'Operating lease converter'!F35,'Master Inputs Start here'!B18+'Operating lease converter'!F35),IF('Master Inputs Start here'!B25="Yes",'Master Inputs Start here'!B29,'Master Inputs Start here'!B18))</f>
        <v>827.4276638265942</v>
      </c>
    </row>
    <row r="64" spans="2:6" s="4" customFormat="1" ht="19.5" customHeight="1">
      <c r="B64" s="7" t="s">
        <v>315</v>
      </c>
      <c r="C64" s="7"/>
      <c r="D64" s="7"/>
      <c r="E64" s="17"/>
      <c r="F64" s="113">
        <f>F62-F63</f>
        <v>318341.12651353586</v>
      </c>
    </row>
    <row r="65" spans="2:6" s="4" customFormat="1" ht="19.5" customHeight="1">
      <c r="B65" s="7" t="s">
        <v>381</v>
      </c>
      <c r="C65" s="7"/>
      <c r="D65" s="7"/>
      <c r="E65" s="17"/>
      <c r="F65" s="114">
        <f>IF('Master Inputs Start here'!B45="Yes",'Option Value'!D27*(1-'Master Inputs Start here'!B14),0)</f>
        <v>14305.19621805636</v>
      </c>
    </row>
    <row r="66" spans="2:6" s="4" customFormat="1" ht="19.5" customHeight="1">
      <c r="B66" s="7" t="s">
        <v>382</v>
      </c>
      <c r="C66" s="7"/>
      <c r="D66" s="7"/>
      <c r="E66" s="17"/>
      <c r="F66" s="114">
        <f>F64-F65</f>
        <v>304035.9302954795</v>
      </c>
    </row>
    <row r="67" spans="2:6" s="4" customFormat="1" ht="19.5" customHeight="1">
      <c r="B67" s="7" t="s">
        <v>93</v>
      </c>
      <c r="C67" s="7"/>
      <c r="D67" s="7"/>
      <c r="E67" s="17"/>
      <c r="F67" s="114">
        <f>F66/'Master Inputs Start here'!B28</f>
        <v>44.127130666978154</v>
      </c>
    </row>
    <row r="68" spans="2:7" ht="19.5" customHeight="1">
      <c r="B68" s="2"/>
      <c r="C68" s="2"/>
      <c r="D68" s="2"/>
      <c r="E68" s="3"/>
      <c r="F68" s="3"/>
      <c r="G68" s="2"/>
    </row>
  </sheetData>
  <mergeCells count="2">
    <mergeCell ref="B1:J1"/>
    <mergeCell ref="B57:K57"/>
  </mergeCells>
  <printOptions/>
  <pageMargins left="0.75" right="0.75" top="1" bottom="1" header="0.5" footer="0.5"/>
  <pageSetup orientation="landscape" scale="80"/>
  <headerFooter alignWithMargins="0">
    <oddHeader>&amp;C Two-Stage FCFF Discount Model</oddHeader>
    <oddFooter>&amp;CPage &amp;p</oddFooter>
  </headerFooter>
  <rowBreaks count="1" manualBreakCount="1">
    <brk id="24" max="255" man="1"/>
  </rowBreaks>
</worksheet>
</file>

<file path=xl/worksheets/sheet7.xml><?xml version="1.0" encoding="utf-8"?>
<worksheet xmlns="http://schemas.openxmlformats.org/spreadsheetml/2006/main" xmlns:r="http://schemas.openxmlformats.org/officeDocument/2006/relationships">
  <dimension ref="A1:G27"/>
  <sheetViews>
    <sheetView workbookViewId="0" topLeftCell="A1">
      <selection activeCell="D3" sqref="D3"/>
    </sheetView>
  </sheetViews>
  <sheetFormatPr defaultColWidth="11.00390625" defaultRowHeight="12.75"/>
  <cols>
    <col min="4" max="4" width="15.375" style="0" bestFit="1" customWidth="1"/>
  </cols>
  <sheetData>
    <row r="1" spans="1:2" s="58" customFormat="1" ht="18">
      <c r="A1" s="26" t="s">
        <v>245</v>
      </c>
      <c r="B1" s="26"/>
    </row>
    <row r="2" spans="1:4" ht="12.75">
      <c r="A2" s="4" t="s">
        <v>429</v>
      </c>
      <c r="B2" s="4"/>
      <c r="D2" s="99">
        <f>IF('Master Inputs Start here'!B50="P",'Master Inputs Start here'!B27,'Valuation Model'!F67)</f>
        <v>64.875</v>
      </c>
    </row>
    <row r="3" spans="1:4" ht="12.75">
      <c r="A3" s="4" t="s">
        <v>430</v>
      </c>
      <c r="B3" s="4"/>
      <c r="D3" s="71">
        <f>'Master Inputs Start here'!B47</f>
        <v>22.52</v>
      </c>
    </row>
    <row r="4" spans="1:4" ht="12.75">
      <c r="A4" s="4" t="s">
        <v>105</v>
      </c>
      <c r="B4" s="4"/>
      <c r="D4" s="110">
        <f>'Master Inputs Start here'!B48</f>
        <v>6.8</v>
      </c>
    </row>
    <row r="5" spans="1:5" ht="12.75">
      <c r="A5" s="4" t="s">
        <v>106</v>
      </c>
      <c r="B5" s="4"/>
      <c r="D5" s="116">
        <f>'Master Inputs Start here'!B49</f>
        <v>0.402</v>
      </c>
      <c r="E5" s="4" t="s">
        <v>368</v>
      </c>
    </row>
    <row r="6" spans="1:4" ht="12.75">
      <c r="A6" s="4" t="s">
        <v>389</v>
      </c>
      <c r="B6" s="4"/>
      <c r="D6" s="117">
        <v>0</v>
      </c>
    </row>
    <row r="7" spans="1:4" ht="12.75">
      <c r="A7" s="4" t="s">
        <v>390</v>
      </c>
      <c r="B7" s="4"/>
      <c r="D7" s="117">
        <f>'Master Inputs Start here'!B35</f>
        <v>0.06</v>
      </c>
    </row>
    <row r="8" spans="1:4" ht="12.75">
      <c r="A8" s="4" t="s">
        <v>343</v>
      </c>
      <c r="B8" s="4"/>
      <c r="D8" s="118">
        <f>'Master Inputs Start here'!B46</f>
        <v>439</v>
      </c>
    </row>
    <row r="9" spans="1:4" ht="12.75">
      <c r="A9" s="4" t="s">
        <v>401</v>
      </c>
      <c r="B9" s="4"/>
      <c r="D9" s="119">
        <f>'Master Inputs Start here'!B28</f>
        <v>6890</v>
      </c>
    </row>
    <row r="10" spans="1:2" ht="12.75">
      <c r="A10" s="4"/>
      <c r="B10" s="4"/>
    </row>
    <row r="11" spans="1:2" s="59" customFormat="1" ht="12.75">
      <c r="A11" s="6" t="s">
        <v>372</v>
      </c>
      <c r="B11" s="8"/>
    </row>
    <row r="12" s="4" customFormat="1" ht="12">
      <c r="A12" s="7" t="s">
        <v>373</v>
      </c>
    </row>
    <row r="13" spans="1:7" s="4" customFormat="1" ht="12">
      <c r="A13" s="4" t="s">
        <v>119</v>
      </c>
      <c r="C13" s="60">
        <f>D2</f>
        <v>64.875</v>
      </c>
      <c r="D13" s="4" t="s">
        <v>120</v>
      </c>
      <c r="F13" s="12">
        <f>D8</f>
        <v>439</v>
      </c>
      <c r="G13" s="61"/>
    </row>
    <row r="14" spans="1:7" s="4" customFormat="1" ht="12">
      <c r="A14" s="4" t="s">
        <v>316</v>
      </c>
      <c r="C14" s="60">
        <f>D3</f>
        <v>22.52</v>
      </c>
      <c r="D14" s="4" t="s">
        <v>318</v>
      </c>
      <c r="F14" s="62">
        <f>D9</f>
        <v>6890</v>
      </c>
      <c r="G14" s="61"/>
    </row>
    <row r="15" spans="1:6" s="4" customFormat="1" ht="12">
      <c r="A15" s="4" t="s">
        <v>115</v>
      </c>
      <c r="C15" s="60">
        <f>(C13*F14+C26*F13)/(F14+F13)</f>
        <v>63.991914883561904</v>
      </c>
      <c r="D15" s="4" t="s">
        <v>319</v>
      </c>
      <c r="F15" s="63">
        <f>D7</f>
        <v>0.06</v>
      </c>
    </row>
    <row r="16" spans="1:6" s="4" customFormat="1" ht="12">
      <c r="A16" s="4" t="s">
        <v>116</v>
      </c>
      <c r="C16" s="60">
        <f>C14</f>
        <v>22.52</v>
      </c>
      <c r="D16" s="4" t="s">
        <v>320</v>
      </c>
      <c r="F16" s="64">
        <f>D5^2</f>
        <v>0.16160400000000003</v>
      </c>
    </row>
    <row r="17" spans="1:6" s="4" customFormat="1" ht="12">
      <c r="A17" s="4" t="s">
        <v>321</v>
      </c>
      <c r="C17" s="60">
        <f>D4</f>
        <v>6.8</v>
      </c>
      <c r="D17" s="4" t="s">
        <v>42</v>
      </c>
      <c r="F17" s="63">
        <f>D6</f>
        <v>0</v>
      </c>
    </row>
    <row r="18" spans="3:6" s="4" customFormat="1" ht="12">
      <c r="C18" s="7"/>
      <c r="D18" s="4" t="s">
        <v>43</v>
      </c>
      <c r="F18" s="42">
        <f>F15-F17</f>
        <v>0.06</v>
      </c>
    </row>
    <row r="19" s="4" customFormat="1" ht="12"/>
    <row r="20" spans="1:2" s="4" customFormat="1" ht="12">
      <c r="A20" s="4" t="s">
        <v>44</v>
      </c>
      <c r="B20" s="12">
        <f>(LN(C15/C16)+(F18+(F16/2))*C17)/(((F16)^(0.5))*(C17^0.5))</f>
        <v>1.9095964331903617</v>
      </c>
    </row>
    <row r="21" spans="1:2" s="4" customFormat="1" ht="12">
      <c r="A21" s="4" t="s">
        <v>328</v>
      </c>
      <c r="B21" s="12">
        <f>NORMSDIST(B20)</f>
        <v>0.9719074703245739</v>
      </c>
    </row>
    <row r="22" s="4" customFormat="1" ht="12"/>
    <row r="23" spans="1:2" s="4" customFormat="1" ht="15.75" customHeight="1">
      <c r="A23" s="4" t="s">
        <v>199</v>
      </c>
      <c r="B23" s="12">
        <f>B20-((F16^0.5)*(C17^(0.5)))</f>
        <v>0.8613086864337758</v>
      </c>
    </row>
    <row r="24" spans="1:2" s="4" customFormat="1" ht="12">
      <c r="A24" s="4" t="s">
        <v>200</v>
      </c>
      <c r="B24" s="12">
        <f>NORMSDIST(B23)</f>
        <v>0.8054660210090174</v>
      </c>
    </row>
    <row r="25" spans="1:2" ht="13.5" thickBot="1">
      <c r="A25" s="4"/>
      <c r="B25" s="4"/>
    </row>
    <row r="26" spans="1:7" s="4" customFormat="1" ht="12.75" thickBot="1">
      <c r="A26" s="4" t="s">
        <v>246</v>
      </c>
      <c r="C26" s="122">
        <f>((EXP((0-F17)*C17))*C15*B21-C16*(EXP((0-F15)*C17))*B24)</f>
        <v>50.13210519732385</v>
      </c>
      <c r="G26" s="69"/>
    </row>
    <row r="27" spans="1:4" s="4" customFormat="1" ht="12.75" thickBot="1">
      <c r="A27" s="4" t="s">
        <v>247</v>
      </c>
      <c r="D27" s="39">
        <f>C26*D8</f>
        <v>22007.99418162517</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8"/>
  <sheetViews>
    <sheetView workbookViewId="0" topLeftCell="A1">
      <selection activeCell="K45" sqref="K45"/>
    </sheetView>
  </sheetViews>
  <sheetFormatPr defaultColWidth="11.00390625" defaultRowHeight="12.75"/>
  <sheetData>
    <row r="1" s="26" customFormat="1" ht="15">
      <c r="A1" s="26" t="s">
        <v>411</v>
      </c>
    </row>
    <row r="2" spans="1:5" s="4" customFormat="1" ht="12">
      <c r="A2" s="4" t="s">
        <v>342</v>
      </c>
      <c r="D2" s="84">
        <v>0.68</v>
      </c>
      <c r="E2" s="4" t="s">
        <v>83</v>
      </c>
    </row>
    <row r="3" s="4" customFormat="1" ht="12"/>
    <row r="4" s="4" customFormat="1" ht="12">
      <c r="A4" s="4" t="s">
        <v>279</v>
      </c>
    </row>
    <row r="5" spans="1:5" s="4" customFormat="1" ht="12">
      <c r="A5" s="4" t="s">
        <v>145</v>
      </c>
      <c r="D5" s="41">
        <f>'Master Inputs Start here'!B29/('Master Inputs Start here'!B27*'Master Inputs Start here'!B28)</f>
        <v>0</v>
      </c>
      <c r="E5" s="4" t="s">
        <v>332</v>
      </c>
    </row>
    <row r="6" spans="1:4" s="4" customFormat="1" ht="12">
      <c r="A6" s="4" t="s">
        <v>12</v>
      </c>
      <c r="D6" s="42">
        <f>'Valuation Model'!D7</f>
        <v>0.35</v>
      </c>
    </row>
    <row r="7" s="4" customFormat="1" ht="12.75" thickBot="1"/>
    <row r="8" spans="1:4" s="4" customFormat="1" ht="12.75" thickBot="1">
      <c r="A8" s="4" t="s">
        <v>82</v>
      </c>
      <c r="D8" s="43">
        <f>D2*(1+D5*(1-D6))</f>
        <v>0.68</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48"/>
  <sheetViews>
    <sheetView workbookViewId="0" topLeftCell="A1">
      <selection activeCell="A34" sqref="A34:D48"/>
    </sheetView>
  </sheetViews>
  <sheetFormatPr defaultColWidth="11.00390625" defaultRowHeight="12.75"/>
  <sheetData>
    <row r="1" ht="15.75" thickBot="1">
      <c r="A1" s="26" t="s">
        <v>131</v>
      </c>
    </row>
    <row r="2" spans="1:10" s="28" customFormat="1" ht="13.5" thickBot="1">
      <c r="A2" s="4" t="s">
        <v>169</v>
      </c>
      <c r="B2" s="4"/>
      <c r="C2" s="76">
        <f>'Master Inputs Start here'!B40</f>
        <v>2</v>
      </c>
      <c r="D2" s="4" t="s">
        <v>30</v>
      </c>
      <c r="E2" s="4"/>
      <c r="F2" s="4"/>
      <c r="G2" s="4"/>
      <c r="H2" s="4"/>
      <c r="I2" s="4"/>
      <c r="J2" s="4"/>
    </row>
    <row r="3" spans="1:10" s="28" customFormat="1" ht="13.5" thickBot="1">
      <c r="A3" s="4" t="s">
        <v>198</v>
      </c>
      <c r="B3" s="4"/>
      <c r="C3" s="4"/>
      <c r="D3" s="4"/>
      <c r="E3" s="18"/>
      <c r="F3" s="39">
        <f>IF('Master Inputs Start here'!B5="Yes",('Master Inputs Start here'!B10+'Operating lease converter'!C30*'Operating lease converter'!C14),'Master Inputs Start here'!B10)</f>
        <v>3506.300515157249</v>
      </c>
      <c r="G3" s="4" t="s">
        <v>204</v>
      </c>
      <c r="H3" s="4"/>
      <c r="I3" s="4"/>
      <c r="J3" s="4"/>
    </row>
    <row r="4" spans="1:10" s="28" customFormat="1" ht="13.5" thickBot="1">
      <c r="A4" s="4" t="s">
        <v>388</v>
      </c>
      <c r="B4" s="4"/>
      <c r="C4" s="4"/>
      <c r="D4" s="4"/>
      <c r="E4" s="4"/>
      <c r="F4" s="39">
        <f>IF('Master Inputs Start here'!B5="Yes",('Master Inputs Start here'!B11+'Operating lease converter'!C30*'Operating lease converter'!C14),'Master Inputs Start here'!B11)</f>
        <v>51.30051515724884</v>
      </c>
      <c r="G4" s="4" t="s">
        <v>405</v>
      </c>
      <c r="H4" s="4"/>
      <c r="I4" s="4"/>
      <c r="J4" s="4"/>
    </row>
    <row r="5" spans="1:10" s="28" customFormat="1" ht="13.5" thickBot="1">
      <c r="A5" s="4" t="s">
        <v>278</v>
      </c>
      <c r="B5" s="4"/>
      <c r="C5" s="4"/>
      <c r="D5" s="4"/>
      <c r="E5" s="4"/>
      <c r="F5" s="29">
        <f>'Master Inputs Start here'!B35</f>
        <v>0.06</v>
      </c>
      <c r="G5" s="4"/>
      <c r="H5" s="4"/>
      <c r="I5" s="4"/>
      <c r="J5" s="4"/>
    </row>
    <row r="6" spans="1:10" s="28" customFormat="1" ht="13.5" thickBot="1">
      <c r="A6" s="7" t="s">
        <v>279</v>
      </c>
      <c r="B6" s="4"/>
      <c r="C6" s="4"/>
      <c r="D6" s="4"/>
      <c r="E6" s="4"/>
      <c r="F6" s="18"/>
      <c r="G6" s="4"/>
      <c r="H6" s="4"/>
      <c r="I6" s="4"/>
      <c r="J6" s="4"/>
    </row>
    <row r="7" spans="1:10" s="28" customFormat="1" ht="13.5" thickBot="1">
      <c r="A7" s="4" t="s">
        <v>103</v>
      </c>
      <c r="B7" s="4"/>
      <c r="C7" s="4"/>
      <c r="D7" s="30">
        <f>IF(F4&gt;0,F3/F4,(IF(F3&gt;0,100000,0)))</f>
        <v>68.348251560624</v>
      </c>
      <c r="E7" s="4"/>
      <c r="F7" s="18"/>
      <c r="G7" s="4"/>
      <c r="H7" s="4"/>
      <c r="I7" s="4"/>
      <c r="J7" s="4"/>
    </row>
    <row r="8" spans="1:4" s="28" customFormat="1" ht="13.5" thickBot="1">
      <c r="A8" s="4" t="s">
        <v>96</v>
      </c>
      <c r="D8" s="31" t="str">
        <f>IF(C2=1,VLOOKUP(D7,A15:D29,3),(IF(C2=2,VLOOKUP(D7,A34:D48,3),VLOOKUP(D7,F15:I29,3))))</f>
        <v>AAA</v>
      </c>
    </row>
    <row r="9" spans="1:4" s="28" customFormat="1" ht="13.5" thickBot="1">
      <c r="A9" s="4" t="s">
        <v>98</v>
      </c>
      <c r="D9" s="40">
        <f>IF(C2=1,VLOOKUP(D7,A15:D29,4),(IF(C2=2,VLOOKUP(D7,A34:D48,4),VLOOKUP(D7,F15:I29,4))))</f>
        <v>0.0035</v>
      </c>
    </row>
    <row r="10" spans="1:4" s="4" customFormat="1" ht="12.75" thickBot="1">
      <c r="A10" s="4" t="s">
        <v>213</v>
      </c>
      <c r="D10" s="32">
        <f>F5+D9</f>
        <v>0.0635</v>
      </c>
    </row>
    <row r="11" s="4" customFormat="1" ht="12">
      <c r="D11" s="33"/>
    </row>
    <row r="12" spans="1:6" s="28" customFormat="1" ht="12.75">
      <c r="A12" s="7" t="s">
        <v>214</v>
      </c>
      <c r="F12" s="7" t="s">
        <v>211</v>
      </c>
    </row>
    <row r="13" spans="1:10" s="28" customFormat="1" ht="12.75">
      <c r="A13" s="34" t="s">
        <v>426</v>
      </c>
      <c r="B13" s="34"/>
      <c r="C13" s="35"/>
      <c r="D13" s="35"/>
      <c r="F13" s="36" t="s">
        <v>149</v>
      </c>
      <c r="G13" s="5"/>
      <c r="H13" s="4"/>
      <c r="I13" s="4"/>
      <c r="J13" s="4"/>
    </row>
    <row r="14" spans="1:10" s="28" customFormat="1" ht="12.75">
      <c r="A14" s="37" t="s">
        <v>45</v>
      </c>
      <c r="B14" s="37" t="s">
        <v>46</v>
      </c>
      <c r="C14" s="37" t="s">
        <v>67</v>
      </c>
      <c r="D14" s="37" t="s">
        <v>68</v>
      </c>
      <c r="F14" s="13" t="s">
        <v>287</v>
      </c>
      <c r="G14" s="13" t="s">
        <v>46</v>
      </c>
      <c r="H14" s="13" t="s">
        <v>67</v>
      </c>
      <c r="I14" s="13" t="s">
        <v>68</v>
      </c>
      <c r="J14" s="13" t="s">
        <v>217</v>
      </c>
    </row>
    <row r="15" spans="1:10" s="28" customFormat="1" ht="12.75">
      <c r="A15" s="13">
        <v>-100000</v>
      </c>
      <c r="B15" s="13">
        <v>0.199999</v>
      </c>
      <c r="C15" s="13" t="s">
        <v>109</v>
      </c>
      <c r="D15" s="14">
        <v>0.2</v>
      </c>
      <c r="F15" s="13">
        <v>-100000</v>
      </c>
      <c r="G15" s="13">
        <v>0.049999</v>
      </c>
      <c r="H15" s="13" t="s">
        <v>109</v>
      </c>
      <c r="I15" s="14">
        <v>0.16</v>
      </c>
      <c r="J15" s="16">
        <v>-0.5</v>
      </c>
    </row>
    <row r="16" spans="1:10" s="28" customFormat="1" ht="12.75">
      <c r="A16" s="13">
        <v>0.2</v>
      </c>
      <c r="B16" s="13">
        <v>0.649999</v>
      </c>
      <c r="C16" s="13" t="s">
        <v>110</v>
      </c>
      <c r="D16" s="14">
        <v>0.12</v>
      </c>
      <c r="F16" s="13">
        <v>0.05</v>
      </c>
      <c r="G16" s="13">
        <v>0.099999</v>
      </c>
      <c r="H16" s="13" t="s">
        <v>110</v>
      </c>
      <c r="I16" s="14">
        <v>0.14</v>
      </c>
      <c r="J16" s="16">
        <v>-0.4</v>
      </c>
    </row>
    <row r="17" spans="1:10" s="28" customFormat="1" ht="12.75">
      <c r="A17" s="13">
        <v>0.65</v>
      </c>
      <c r="B17" s="13">
        <v>0.799999</v>
      </c>
      <c r="C17" s="13" t="s">
        <v>111</v>
      </c>
      <c r="D17" s="14">
        <v>0.1</v>
      </c>
      <c r="F17" s="13">
        <v>0.1</v>
      </c>
      <c r="G17" s="13">
        <v>0.199999</v>
      </c>
      <c r="H17" s="13" t="s">
        <v>111</v>
      </c>
      <c r="I17" s="14">
        <v>0.125</v>
      </c>
      <c r="J17" s="16">
        <v>-0.4</v>
      </c>
    </row>
    <row r="18" spans="1:10" s="28" customFormat="1" ht="12.75">
      <c r="A18" s="13">
        <v>0.8</v>
      </c>
      <c r="B18" s="13">
        <v>1.249999</v>
      </c>
      <c r="C18" s="13" t="s">
        <v>112</v>
      </c>
      <c r="D18" s="14">
        <v>0.08</v>
      </c>
      <c r="F18" s="13">
        <v>0.2</v>
      </c>
      <c r="G18" s="13">
        <v>0.299999</v>
      </c>
      <c r="H18" s="13" t="s">
        <v>112</v>
      </c>
      <c r="I18" s="14">
        <v>0.105</v>
      </c>
      <c r="J18" s="16">
        <v>-0.4</v>
      </c>
    </row>
    <row r="19" spans="1:10" s="28" customFormat="1" ht="12.75">
      <c r="A19" s="13">
        <v>1.25</v>
      </c>
      <c r="B19" s="13">
        <v>1.499999</v>
      </c>
      <c r="C19" s="13" t="s">
        <v>13</v>
      </c>
      <c r="D19" s="14">
        <v>0.06</v>
      </c>
      <c r="F19" s="13">
        <v>0.3</v>
      </c>
      <c r="G19" s="13">
        <v>0.399999</v>
      </c>
      <c r="H19" s="13" t="s">
        <v>13</v>
      </c>
      <c r="I19" s="14">
        <v>0.0625</v>
      </c>
      <c r="J19" s="16">
        <v>-0.25</v>
      </c>
    </row>
    <row r="20" spans="1:10" s="28" customFormat="1" ht="12.75">
      <c r="A20" s="13">
        <v>1.5</v>
      </c>
      <c r="B20" s="13">
        <v>1.749999</v>
      </c>
      <c r="C20" s="13" t="s">
        <v>14</v>
      </c>
      <c r="D20" s="14">
        <v>0.04</v>
      </c>
      <c r="F20" s="13">
        <v>0.4</v>
      </c>
      <c r="G20" s="13">
        <v>0.499999</v>
      </c>
      <c r="H20" s="13" t="s">
        <v>14</v>
      </c>
      <c r="I20" s="14">
        <v>0.06</v>
      </c>
      <c r="J20" s="16">
        <v>-0.2</v>
      </c>
    </row>
    <row r="21" spans="1:10" s="28" customFormat="1" ht="12.75">
      <c r="A21" s="13">
        <v>1.75</v>
      </c>
      <c r="B21" s="13">
        <v>1.999999</v>
      </c>
      <c r="C21" s="13" t="s">
        <v>15</v>
      </c>
      <c r="D21" s="14">
        <v>0.0325</v>
      </c>
      <c r="F21" s="13">
        <v>0.5</v>
      </c>
      <c r="G21" s="13">
        <v>0.599999</v>
      </c>
      <c r="H21" s="13" t="s">
        <v>15</v>
      </c>
      <c r="I21" s="14">
        <v>0.0575</v>
      </c>
      <c r="J21" s="16">
        <v>-0.2</v>
      </c>
    </row>
    <row r="22" spans="1:10" s="28" customFormat="1" ht="12.75">
      <c r="A22" s="13">
        <v>2</v>
      </c>
      <c r="B22" s="13">
        <v>2.2499999</v>
      </c>
      <c r="C22" s="13" t="s">
        <v>16</v>
      </c>
      <c r="D22" s="14">
        <v>0.025</v>
      </c>
      <c r="F22" s="13">
        <v>0.6</v>
      </c>
      <c r="G22" s="13">
        <v>0.749999</v>
      </c>
      <c r="H22" s="13" t="s">
        <v>16</v>
      </c>
      <c r="I22" s="14">
        <v>0.0475</v>
      </c>
      <c r="J22" s="16">
        <v>-0.2</v>
      </c>
    </row>
    <row r="23" spans="1:10" s="28" customFormat="1" ht="12.75">
      <c r="A23" s="13">
        <v>2.25</v>
      </c>
      <c r="B23" s="13">
        <v>2.49999</v>
      </c>
      <c r="C23" s="13" t="s">
        <v>92</v>
      </c>
      <c r="D23" s="14">
        <v>0.02</v>
      </c>
      <c r="F23" s="13">
        <v>0.75</v>
      </c>
      <c r="G23" s="13">
        <v>0.899999</v>
      </c>
      <c r="H23" s="13" t="s">
        <v>92</v>
      </c>
      <c r="I23" s="14">
        <v>0.0425</v>
      </c>
      <c r="J23" s="16">
        <v>-0.2</v>
      </c>
    </row>
    <row r="24" spans="1:10" s="28" customFormat="1" ht="12.75">
      <c r="A24" s="13">
        <v>2.5</v>
      </c>
      <c r="B24" s="13">
        <v>2.999999</v>
      </c>
      <c r="C24" s="13" t="s">
        <v>17</v>
      </c>
      <c r="D24" s="14">
        <v>0.015</v>
      </c>
      <c r="F24" s="13">
        <v>0.9</v>
      </c>
      <c r="G24" s="13">
        <v>1.199999</v>
      </c>
      <c r="H24" s="13" t="s">
        <v>17</v>
      </c>
      <c r="I24" s="14">
        <v>0.02</v>
      </c>
      <c r="J24" s="16">
        <v>-0.2</v>
      </c>
    </row>
    <row r="25" spans="1:10" s="28" customFormat="1" ht="12.75">
      <c r="A25" s="13">
        <v>3</v>
      </c>
      <c r="B25" s="13">
        <v>4.249999</v>
      </c>
      <c r="C25" s="13" t="s">
        <v>18</v>
      </c>
      <c r="D25" s="14">
        <v>0.01</v>
      </c>
      <c r="F25" s="13">
        <v>1.2</v>
      </c>
      <c r="G25" s="13">
        <v>1.49999</v>
      </c>
      <c r="H25" s="13" t="s">
        <v>18</v>
      </c>
      <c r="I25" s="14">
        <v>0.015</v>
      </c>
      <c r="J25" s="16">
        <v>-0.175</v>
      </c>
    </row>
    <row r="26" spans="1:10" s="28" customFormat="1" ht="12.75">
      <c r="A26" s="13">
        <v>4.25</v>
      </c>
      <c r="B26" s="13">
        <v>5.499999</v>
      </c>
      <c r="C26" s="13" t="s">
        <v>97</v>
      </c>
      <c r="D26" s="14">
        <v>0.0085</v>
      </c>
      <c r="F26" s="13">
        <v>1.5</v>
      </c>
      <c r="G26" s="13">
        <v>1.99999</v>
      </c>
      <c r="H26" s="13" t="s">
        <v>97</v>
      </c>
      <c r="I26" s="14">
        <v>0.014</v>
      </c>
      <c r="J26" s="16">
        <v>-0.15</v>
      </c>
    </row>
    <row r="27" spans="1:10" s="28" customFormat="1" ht="12.75">
      <c r="A27" s="13">
        <v>5.5</v>
      </c>
      <c r="B27" s="13">
        <v>6.499999</v>
      </c>
      <c r="C27" s="13" t="s">
        <v>19</v>
      </c>
      <c r="D27" s="14">
        <v>0.007</v>
      </c>
      <c r="F27" s="13">
        <v>2</v>
      </c>
      <c r="G27" s="13">
        <v>2.49999</v>
      </c>
      <c r="H27" s="13" t="s">
        <v>19</v>
      </c>
      <c r="I27" s="14">
        <v>0.0125</v>
      </c>
      <c r="J27" s="16">
        <v>-0.1</v>
      </c>
    </row>
    <row r="28" spans="1:10" s="28" customFormat="1" ht="12.75">
      <c r="A28" s="13">
        <v>6.5</v>
      </c>
      <c r="B28" s="13">
        <v>8.499999</v>
      </c>
      <c r="C28" s="13" t="s">
        <v>10</v>
      </c>
      <c r="D28" s="14">
        <v>0.005</v>
      </c>
      <c r="F28" s="13">
        <v>2.5</v>
      </c>
      <c r="G28" s="13">
        <v>2.99999</v>
      </c>
      <c r="H28" s="13" t="s">
        <v>10</v>
      </c>
      <c r="I28" s="14">
        <v>0.009</v>
      </c>
      <c r="J28" s="16">
        <v>-0.05</v>
      </c>
    </row>
    <row r="29" spans="1:10" s="28" customFormat="1" ht="12.75">
      <c r="A29" s="23">
        <v>8.5</v>
      </c>
      <c r="B29" s="13">
        <v>100000</v>
      </c>
      <c r="C29" s="13" t="s">
        <v>11</v>
      </c>
      <c r="D29" s="14">
        <v>0.0035</v>
      </c>
      <c r="F29" s="13">
        <v>3</v>
      </c>
      <c r="G29" s="13">
        <v>100000</v>
      </c>
      <c r="H29" s="13" t="s">
        <v>11</v>
      </c>
      <c r="I29" s="14">
        <v>0.007</v>
      </c>
      <c r="J29" s="16">
        <v>0</v>
      </c>
    </row>
    <row r="30" s="28" customFormat="1" ht="12.75"/>
    <row r="31" s="28" customFormat="1" ht="12.75">
      <c r="A31" s="7" t="s">
        <v>410</v>
      </c>
    </row>
    <row r="32" spans="1:4" s="28" customFormat="1" ht="12.75">
      <c r="A32" s="34" t="s">
        <v>426</v>
      </c>
      <c r="B32" s="38"/>
      <c r="C32" s="13"/>
      <c r="D32" s="13"/>
    </row>
    <row r="33" spans="1:4" s="28" customFormat="1" ht="12.75">
      <c r="A33" s="13" t="s">
        <v>287</v>
      </c>
      <c r="B33" s="13" t="s">
        <v>46</v>
      </c>
      <c r="C33" s="13" t="s">
        <v>67</v>
      </c>
      <c r="D33" s="13" t="s">
        <v>68</v>
      </c>
    </row>
    <row r="34" spans="1:4" s="28" customFormat="1" ht="12.75">
      <c r="A34" s="13">
        <v>-100000</v>
      </c>
      <c r="B34" s="13">
        <v>0.499999</v>
      </c>
      <c r="C34" s="13" t="s">
        <v>109</v>
      </c>
      <c r="D34" s="14">
        <v>0.2</v>
      </c>
    </row>
    <row r="35" spans="1:4" s="28" customFormat="1" ht="12.75">
      <c r="A35" s="13">
        <v>0.5</v>
      </c>
      <c r="B35" s="13">
        <v>0.799999</v>
      </c>
      <c r="C35" s="13" t="s">
        <v>110</v>
      </c>
      <c r="D35" s="14">
        <v>0.12</v>
      </c>
    </row>
    <row r="36" spans="1:4" s="28" customFormat="1" ht="12.75">
      <c r="A36" s="13">
        <v>0.8</v>
      </c>
      <c r="B36" s="13">
        <v>1.249999</v>
      </c>
      <c r="C36" s="13" t="s">
        <v>111</v>
      </c>
      <c r="D36" s="14">
        <v>0.1</v>
      </c>
    </row>
    <row r="37" spans="1:4" s="28" customFormat="1" ht="12.75">
      <c r="A37" s="13">
        <v>1.25</v>
      </c>
      <c r="B37" s="13">
        <v>1.499999</v>
      </c>
      <c r="C37" s="13" t="s">
        <v>112</v>
      </c>
      <c r="D37" s="14">
        <v>0.08</v>
      </c>
    </row>
    <row r="38" spans="1:4" s="28" customFormat="1" ht="12.75">
      <c r="A38" s="13">
        <v>1.5</v>
      </c>
      <c r="B38" s="13">
        <v>1.999999</v>
      </c>
      <c r="C38" s="13" t="s">
        <v>13</v>
      </c>
      <c r="D38" s="14">
        <v>0.06</v>
      </c>
    </row>
    <row r="39" spans="1:4" s="28" customFormat="1" ht="12.75">
      <c r="A39" s="13">
        <v>2</v>
      </c>
      <c r="B39" s="13">
        <v>2.499999</v>
      </c>
      <c r="C39" s="13" t="s">
        <v>14</v>
      </c>
      <c r="D39" s="14">
        <v>0.04</v>
      </c>
    </row>
    <row r="40" spans="1:4" s="28" customFormat="1" ht="12.75">
      <c r="A40" s="13">
        <v>2.5</v>
      </c>
      <c r="B40" s="13">
        <v>2.999999</v>
      </c>
      <c r="C40" s="13" t="s">
        <v>15</v>
      </c>
      <c r="D40" s="14">
        <v>0.0325</v>
      </c>
    </row>
    <row r="41" spans="1:4" s="28" customFormat="1" ht="12.75">
      <c r="A41" s="13">
        <v>3</v>
      </c>
      <c r="B41" s="13">
        <v>3.499999</v>
      </c>
      <c r="C41" s="13" t="s">
        <v>16</v>
      </c>
      <c r="D41" s="14">
        <v>0.025</v>
      </c>
    </row>
    <row r="42" spans="1:4" s="28" customFormat="1" ht="12.75">
      <c r="A42" s="13">
        <v>3.5</v>
      </c>
      <c r="B42" s="13">
        <v>3.9999999</v>
      </c>
      <c r="C42" s="13" t="s">
        <v>92</v>
      </c>
      <c r="D42" s="14">
        <v>0.02</v>
      </c>
    </row>
    <row r="43" spans="1:4" s="28" customFormat="1" ht="12.75">
      <c r="A43" s="13">
        <v>4</v>
      </c>
      <c r="B43" s="13">
        <v>4.499999</v>
      </c>
      <c r="C43" s="13" t="s">
        <v>17</v>
      </c>
      <c r="D43" s="14">
        <v>0.015</v>
      </c>
    </row>
    <row r="44" spans="1:4" s="28" customFormat="1" ht="12.75">
      <c r="A44" s="13">
        <v>4.5</v>
      </c>
      <c r="B44" s="13">
        <v>5.999999</v>
      </c>
      <c r="C44" s="13" t="s">
        <v>18</v>
      </c>
      <c r="D44" s="14">
        <v>0.01</v>
      </c>
    </row>
    <row r="45" spans="1:4" s="28" customFormat="1" ht="12.75">
      <c r="A45" s="13">
        <v>6</v>
      </c>
      <c r="B45" s="13">
        <v>7.499999</v>
      </c>
      <c r="C45" s="13" t="s">
        <v>97</v>
      </c>
      <c r="D45" s="14">
        <v>0.0085</v>
      </c>
    </row>
    <row r="46" spans="1:4" s="28" customFormat="1" ht="12.75">
      <c r="A46" s="13">
        <v>7.5</v>
      </c>
      <c r="B46" s="13">
        <v>9.499999</v>
      </c>
      <c r="C46" s="13" t="s">
        <v>19</v>
      </c>
      <c r="D46" s="14">
        <v>0.007</v>
      </c>
    </row>
    <row r="47" spans="1:10" ht="12.75">
      <c r="A47" s="13">
        <v>9.5</v>
      </c>
      <c r="B47" s="13">
        <v>12.499999</v>
      </c>
      <c r="C47" s="13" t="s">
        <v>10</v>
      </c>
      <c r="D47" s="14">
        <v>0.005</v>
      </c>
      <c r="F47" s="28"/>
      <c r="G47" s="28"/>
      <c r="H47" s="28"/>
      <c r="I47" s="28"/>
      <c r="J47" s="28"/>
    </row>
    <row r="48" spans="1:4" ht="12.75">
      <c r="A48" s="13">
        <v>12.5</v>
      </c>
      <c r="B48" s="13">
        <v>100000</v>
      </c>
      <c r="C48" s="13" t="s">
        <v>11</v>
      </c>
      <c r="D48" s="14">
        <v>0.0035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Aswath Damodaran</dc:creator>
  <cp:keywords/>
  <dc:description/>
  <cp:lastModifiedBy>Aswath Damodaran</cp:lastModifiedBy>
  <cp:lastPrinted>1999-04-05T16:26:46Z</cp:lastPrinted>
  <dcterms:created xsi:type="dcterms:W3CDTF">1999-04-05T16:05:46Z</dcterms:created>
  <cp:category/>
  <cp:version/>
  <cp:contentType/>
  <cp:contentStatus/>
</cp:coreProperties>
</file>